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5480" windowHeight="6030" tabRatio="598" activeTab="0"/>
  </bookViews>
  <sheets>
    <sheet name="Gümrük Kapıları Ziyaretçi Giriş" sheetId="1" r:id="rId1"/>
  </sheets>
  <definedNames/>
  <calcPr fullCalcOnLoad="1"/>
</workbook>
</file>

<file path=xl/sharedStrings.xml><?xml version="1.0" encoding="utf-8"?>
<sst xmlns="http://schemas.openxmlformats.org/spreadsheetml/2006/main" count="182" uniqueCount="50">
  <si>
    <t>AYLAR</t>
  </si>
  <si>
    <t>OCAK</t>
  </si>
  <si>
    <t>MART</t>
  </si>
  <si>
    <t>NİSAN</t>
  </si>
  <si>
    <t>MAYIS</t>
  </si>
  <si>
    <t>HAZİRAN</t>
  </si>
  <si>
    <t>TEMMUZ</t>
  </si>
  <si>
    <t>ŞUBAT</t>
  </si>
  <si>
    <t>AĞUSTOS</t>
  </si>
  <si>
    <t>EYLÜL</t>
  </si>
  <si>
    <t>EKİM</t>
  </si>
  <si>
    <t>KASIM</t>
  </si>
  <si>
    <t>ARALIK</t>
  </si>
  <si>
    <t>T O P L A M</t>
  </si>
  <si>
    <t>AYLIK</t>
  </si>
  <si>
    <t xml:space="preserve"> KÜMÜLATİF</t>
  </si>
  <si>
    <t>KÜMÜLATİF</t>
  </si>
  <si>
    <t xml:space="preserve">AĞUSTOS </t>
  </si>
  <si>
    <t>Y A B A N C I   Z İ Y A R E T Ç İ L E R</t>
  </si>
  <si>
    <t>A N T A L Y A   İ L   K Ü L T Ü R   V E   T U R İ Z M   M Ü D Ü  R L Ü Ğ Ü</t>
  </si>
  <si>
    <t>SAYISAL DEĞİŞİM</t>
  </si>
  <si>
    <t>ORANSAL DEĞİŞİM (%)</t>
  </si>
  <si>
    <t>SAYISAL   DEĞİŞİM</t>
  </si>
  <si>
    <t>Y A B A N C I    Z İ Y A R E T Ç İ L E R</t>
  </si>
  <si>
    <t>V A T A N D A Ş L A R</t>
  </si>
  <si>
    <t>Y A B A N C I   Z İ Y A R E T Ç İ L E R  +  V A T A N D A Ş L A R</t>
  </si>
  <si>
    <t>A N T A L Y A     G Ü M R Ü K    K A P I L A R I    Y  A  B A N C I    Z İ Y A R E T Ç İ    V E    V A T A N D A Ş    G İ R İ Ş L E R İ    T A B L O S U</t>
  </si>
  <si>
    <t>,</t>
  </si>
  <si>
    <r>
      <t>GENEL TOPLAM</t>
    </r>
    <r>
      <rPr>
        <b/>
        <sz val="14"/>
        <rFont val="Arial"/>
        <family val="2"/>
      </rPr>
      <t xml:space="preserve"> </t>
    </r>
  </si>
  <si>
    <t>GENEL TOPLAM</t>
  </si>
  <si>
    <t>HAVA LİMANLARI</t>
  </si>
  <si>
    <t xml:space="preserve">ANTALYA </t>
  </si>
  <si>
    <t>GAZİPAŞA</t>
  </si>
  <si>
    <t>DENİZ LİMANLARI</t>
  </si>
  <si>
    <t>ALANYA</t>
  </si>
  <si>
    <t xml:space="preserve">KAŞ </t>
  </si>
  <si>
    <t>ANTALYA</t>
  </si>
  <si>
    <t>FİNİKE</t>
  </si>
  <si>
    <t>KEMER</t>
  </si>
  <si>
    <t>-</t>
  </si>
  <si>
    <t>ORANSAL</t>
  </si>
  <si>
    <t xml:space="preserve"> DEĞİŞİM (%)</t>
  </si>
  <si>
    <t>KAŞ</t>
  </si>
  <si>
    <t>SAYISAL</t>
  </si>
  <si>
    <t>DEĞİŞİM</t>
  </si>
  <si>
    <t>2   0   0  9      Y  I  L  I</t>
  </si>
  <si>
    <t>2  0  1  0      Y  I  L  I</t>
  </si>
  <si>
    <t>2 0 1 0    /   2 0 0 9    Y I L I    K A R Ş I L A Ş T I R M A S I</t>
  </si>
  <si>
    <t>Not (1) : Veriler geçici olup, Günübirlik ziyaretçi girişleri de dahil edilmiştir.</t>
  </si>
  <si>
    <t>Not (2) : Ayrıca 2010 yılında İlimize yaklaşık 278 bin transit ziyaretçi girişi gerçekleşmiştir.</t>
  </si>
</sst>
</file>

<file path=xl/styles.xml><?xml version="1.0" encoding="utf-8"?>
<styleSheet xmlns="http://schemas.openxmlformats.org/spreadsheetml/2006/main">
  <numFmts count="3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%\ 0"/>
    <numFmt numFmtId="173" formatCode="0.000"/>
    <numFmt numFmtId="174" formatCode="0.0"/>
    <numFmt numFmtId="175" formatCode="\%0.00"/>
    <numFmt numFmtId="176" formatCode="#,##0_ ;[Red]\-#,##0\ "/>
    <numFmt numFmtId="177" formatCode="%\ 0.00"/>
    <numFmt numFmtId="178" formatCode="%\ 0.0"/>
    <numFmt numFmtId="179" formatCode="#,##0.000"/>
    <numFmt numFmtId="180" formatCode="#,##0.0"/>
    <numFmt numFmtId="181" formatCode="&quot;Evet&quot;;&quot;Evet&quot;;&quot;Hayır&quot;"/>
    <numFmt numFmtId="182" formatCode="&quot;Doğru&quot;;&quot;Doğru&quot;;&quot;Yanlış&quot;"/>
    <numFmt numFmtId="183" formatCode="&quot;Açık&quot;;&quot;Açık&quot;;&quot;Kapalı&quot;"/>
    <numFmt numFmtId="184" formatCode="%\ 0.000"/>
    <numFmt numFmtId="185" formatCode="#,###;[Red]\-#,##0"/>
    <numFmt numFmtId="186" formatCode="0.0%"/>
    <numFmt numFmtId="187" formatCode="%\ 0.0000"/>
    <numFmt numFmtId="188" formatCode="%\ 0.00000"/>
    <numFmt numFmtId="189" formatCode="%\ 0."/>
    <numFmt numFmtId="190" formatCode="###\ ##0"/>
    <numFmt numFmtId="191" formatCode="#\ ###\ ##0"/>
    <numFmt numFmtId="192" formatCode="#.0\ ###\ ##0"/>
    <numFmt numFmtId="193" formatCode="###\ ###\ ##0"/>
  </numFmts>
  <fonts count="53">
    <font>
      <sz val="10"/>
      <name val="Arial"/>
      <family val="0"/>
    </font>
    <font>
      <sz val="10"/>
      <name val="Arial Tu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5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b/>
      <sz val="10"/>
      <name val="Arial"/>
      <family val="2"/>
    </font>
    <font>
      <b/>
      <sz val="24"/>
      <color indexed="12"/>
      <name val="Arial"/>
      <family val="2"/>
    </font>
    <font>
      <b/>
      <sz val="20"/>
      <color indexed="48"/>
      <name val="Arial"/>
      <family val="2"/>
    </font>
    <font>
      <b/>
      <sz val="22"/>
      <color indexed="9"/>
      <name val="Arial"/>
      <family val="2"/>
    </font>
    <font>
      <b/>
      <sz val="20"/>
      <color indexed="9"/>
      <name val="Arial"/>
      <family val="2"/>
    </font>
    <font>
      <b/>
      <sz val="20"/>
      <name val="Arial"/>
      <family val="2"/>
    </font>
    <font>
      <b/>
      <sz val="22"/>
      <name val="Arial"/>
      <family val="2"/>
    </font>
    <font>
      <b/>
      <sz val="14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0" borderId="5" applyNumberFormat="0" applyAlignment="0" applyProtection="0"/>
    <xf numFmtId="0" fontId="45" fillId="21" borderId="6" applyNumberFormat="0" applyAlignment="0" applyProtection="0"/>
    <xf numFmtId="0" fontId="46" fillId="20" borderId="6" applyNumberFormat="0" applyAlignment="0" applyProtection="0"/>
    <xf numFmtId="0" fontId="47" fillId="22" borderId="7" applyNumberFormat="0" applyAlignment="0" applyProtection="0"/>
    <xf numFmtId="0" fontId="48" fillId="23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24" borderId="0" applyNumberFormat="0" applyBorder="0" applyAlignment="0" applyProtection="0"/>
    <xf numFmtId="0" fontId="1" fillId="0" borderId="0">
      <alignment/>
      <protection/>
    </xf>
    <xf numFmtId="0" fontId="0" fillId="25" borderId="8" applyNumberFormat="0" applyFont="0" applyAlignment="0" applyProtection="0"/>
    <xf numFmtId="0" fontId="50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54">
    <xf numFmtId="0" fontId="0" fillId="0" borderId="0" xfId="0" applyAlignment="1">
      <alignment/>
    </xf>
    <xf numFmtId="191" fontId="4" fillId="33" borderId="0" xfId="0" applyNumberFormat="1" applyFont="1" applyFill="1" applyAlignment="1" applyProtection="1">
      <alignment vertical="center"/>
      <protection hidden="1"/>
    </xf>
    <xf numFmtId="191" fontId="6" fillId="33" borderId="0" xfId="0" applyNumberFormat="1" applyFont="1" applyFill="1" applyAlignment="1" applyProtection="1">
      <alignment horizontal="center" vertical="center"/>
      <protection hidden="1"/>
    </xf>
    <xf numFmtId="191" fontId="4" fillId="33" borderId="10" xfId="0" applyNumberFormat="1" applyFont="1" applyFill="1" applyBorder="1" applyAlignment="1" applyProtection="1">
      <alignment vertical="center"/>
      <protection hidden="1"/>
    </xf>
    <xf numFmtId="191" fontId="9" fillId="33" borderId="11" xfId="50" applyNumberFormat="1" applyFont="1" applyFill="1" applyBorder="1" applyAlignment="1" applyProtection="1">
      <alignment horizontal="center" vertical="center" wrapText="1"/>
      <protection hidden="1"/>
    </xf>
    <xf numFmtId="191" fontId="4" fillId="33" borderId="0" xfId="0" applyNumberFormat="1" applyFont="1" applyFill="1" applyBorder="1" applyAlignment="1" applyProtection="1">
      <alignment vertical="center"/>
      <protection hidden="1"/>
    </xf>
    <xf numFmtId="191" fontId="9" fillId="33" borderId="12" xfId="50" applyNumberFormat="1" applyFont="1" applyFill="1" applyBorder="1" applyAlignment="1" applyProtection="1">
      <alignment horizontal="center" vertical="center" wrapText="1"/>
      <protection hidden="1"/>
    </xf>
    <xf numFmtId="191" fontId="9" fillId="33" borderId="13" xfId="50" applyNumberFormat="1" applyFont="1" applyFill="1" applyBorder="1" applyAlignment="1" applyProtection="1">
      <alignment horizontal="center" vertical="center"/>
      <protection hidden="1"/>
    </xf>
    <xf numFmtId="191" fontId="4" fillId="33" borderId="12" xfId="50" applyNumberFormat="1" applyFont="1" applyFill="1" applyBorder="1" applyAlignment="1" applyProtection="1">
      <alignment vertical="center"/>
      <protection hidden="1"/>
    </xf>
    <xf numFmtId="191" fontId="10" fillId="33" borderId="11" xfId="50" applyNumberFormat="1" applyFont="1" applyFill="1" applyBorder="1" applyAlignment="1" applyProtection="1">
      <alignment horizontal="right" vertical="center"/>
      <protection hidden="1"/>
    </xf>
    <xf numFmtId="191" fontId="10" fillId="33" borderId="13" xfId="50" applyNumberFormat="1" applyFont="1" applyFill="1" applyBorder="1" applyAlignment="1" applyProtection="1">
      <alignment horizontal="right" vertical="center"/>
      <protection hidden="1"/>
    </xf>
    <xf numFmtId="191" fontId="7" fillId="33" borderId="0" xfId="0" applyNumberFormat="1" applyFont="1" applyFill="1" applyBorder="1" applyAlignment="1" applyProtection="1">
      <alignment vertical="center"/>
      <protection hidden="1"/>
    </xf>
    <xf numFmtId="191" fontId="7" fillId="33" borderId="12" xfId="0" applyNumberFormat="1" applyFont="1" applyFill="1" applyBorder="1" applyAlignment="1" applyProtection="1">
      <alignment vertical="center"/>
      <protection hidden="1"/>
    </xf>
    <xf numFmtId="191" fontId="7" fillId="33" borderId="13" xfId="0" applyNumberFormat="1" applyFont="1" applyFill="1" applyBorder="1" applyAlignment="1" applyProtection="1">
      <alignment vertical="center"/>
      <protection hidden="1"/>
    </xf>
    <xf numFmtId="191" fontId="10" fillId="33" borderId="12" xfId="50" applyNumberFormat="1" applyFont="1" applyFill="1" applyBorder="1" applyAlignment="1" applyProtection="1">
      <alignment horizontal="right" vertical="center"/>
      <protection hidden="1"/>
    </xf>
    <xf numFmtId="191" fontId="7" fillId="33" borderId="14" xfId="0" applyNumberFormat="1" applyFont="1" applyFill="1" applyBorder="1" applyAlignment="1" applyProtection="1">
      <alignment vertical="center"/>
      <protection hidden="1"/>
    </xf>
    <xf numFmtId="191" fontId="7" fillId="33" borderId="15" xfId="0" applyNumberFormat="1" applyFont="1" applyFill="1" applyBorder="1" applyAlignment="1" applyProtection="1">
      <alignment vertical="center"/>
      <protection hidden="1"/>
    </xf>
    <xf numFmtId="191" fontId="7" fillId="33" borderId="11" xfId="50" applyNumberFormat="1" applyFont="1" applyFill="1" applyBorder="1" applyAlignment="1" applyProtection="1">
      <alignment horizontal="right" vertical="center"/>
      <protection hidden="1"/>
    </xf>
    <xf numFmtId="191" fontId="7" fillId="33" borderId="12" xfId="50" applyNumberFormat="1" applyFont="1" applyFill="1" applyBorder="1" applyAlignment="1" applyProtection="1">
      <alignment horizontal="right" vertical="center"/>
      <protection hidden="1"/>
    </xf>
    <xf numFmtId="191" fontId="7" fillId="33" borderId="0" xfId="0" applyNumberFormat="1" applyFont="1" applyFill="1" applyAlignment="1" applyProtection="1">
      <alignment vertical="center"/>
      <protection hidden="1"/>
    </xf>
    <xf numFmtId="191" fontId="4" fillId="33" borderId="0" xfId="50" applyNumberFormat="1" applyFont="1" applyFill="1" applyBorder="1" applyAlignment="1" applyProtection="1">
      <alignment vertical="center"/>
      <protection hidden="1"/>
    </xf>
    <xf numFmtId="191" fontId="10" fillId="33" borderId="0" xfId="50" applyNumberFormat="1" applyFont="1" applyFill="1" applyBorder="1" applyAlignment="1" applyProtection="1">
      <alignment horizontal="right" vertical="center"/>
      <protection hidden="1"/>
    </xf>
    <xf numFmtId="191" fontId="10" fillId="33" borderId="0" xfId="50" applyNumberFormat="1" applyFont="1" applyFill="1" applyBorder="1" applyAlignment="1" applyProtection="1">
      <alignment horizontal="center" vertical="center"/>
      <protection hidden="1"/>
    </xf>
    <xf numFmtId="191" fontId="5" fillId="33" borderId="10" xfId="0" applyNumberFormat="1" applyFont="1" applyFill="1" applyBorder="1" applyAlignment="1" applyProtection="1">
      <alignment vertical="center"/>
      <protection hidden="1"/>
    </xf>
    <xf numFmtId="191" fontId="7" fillId="33" borderId="0" xfId="0" applyNumberFormat="1" applyFont="1" applyFill="1" applyBorder="1" applyAlignment="1" applyProtection="1">
      <alignment horizontal="right" vertical="center"/>
      <protection hidden="1"/>
    </xf>
    <xf numFmtId="191" fontId="7" fillId="33" borderId="12" xfId="0" applyNumberFormat="1" applyFont="1" applyFill="1" applyBorder="1" applyAlignment="1" applyProtection="1">
      <alignment horizontal="right" vertical="center"/>
      <protection hidden="1"/>
    </xf>
    <xf numFmtId="191" fontId="7" fillId="33" borderId="13" xfId="0" applyNumberFormat="1" applyFont="1" applyFill="1" applyBorder="1" applyAlignment="1" applyProtection="1">
      <alignment horizontal="right" vertical="center"/>
      <protection hidden="1"/>
    </xf>
    <xf numFmtId="191" fontId="8" fillId="33" borderId="10" xfId="0" applyNumberFormat="1" applyFont="1" applyFill="1" applyBorder="1" applyAlignment="1" applyProtection="1">
      <alignment horizontal="center" vertical="center"/>
      <protection hidden="1"/>
    </xf>
    <xf numFmtId="191" fontId="10" fillId="33" borderId="11" xfId="50" applyNumberFormat="1" applyFont="1" applyFill="1" applyBorder="1" applyAlignment="1" applyProtection="1">
      <alignment horizontal="center" vertical="center"/>
      <protection hidden="1"/>
    </xf>
    <xf numFmtId="191" fontId="7" fillId="33" borderId="0" xfId="50" applyNumberFormat="1" applyFont="1" applyFill="1" applyBorder="1" applyAlignment="1" applyProtection="1">
      <alignment horizontal="center" vertical="center"/>
      <protection hidden="1"/>
    </xf>
    <xf numFmtId="191" fontId="4" fillId="33" borderId="0" xfId="50" applyNumberFormat="1" applyFont="1" applyFill="1" applyBorder="1" applyAlignment="1" applyProtection="1">
      <alignment horizontal="center" vertical="center" wrapText="1"/>
      <protection hidden="1"/>
    </xf>
    <xf numFmtId="4" fontId="10" fillId="33" borderId="11" xfId="50" applyNumberFormat="1" applyFont="1" applyFill="1" applyBorder="1" applyAlignment="1" applyProtection="1">
      <alignment horizontal="center" vertical="center"/>
      <protection hidden="1"/>
    </xf>
    <xf numFmtId="4" fontId="10" fillId="33" borderId="13" xfId="50" applyNumberFormat="1" applyFont="1" applyFill="1" applyBorder="1" applyAlignment="1" applyProtection="1">
      <alignment horizontal="center" vertical="center"/>
      <protection hidden="1"/>
    </xf>
    <xf numFmtId="191" fontId="7" fillId="33" borderId="16" xfId="0" applyNumberFormat="1" applyFont="1" applyFill="1" applyBorder="1" applyAlignment="1" applyProtection="1">
      <alignment horizontal="right" vertical="center"/>
      <protection hidden="1"/>
    </xf>
    <xf numFmtId="191" fontId="7" fillId="33" borderId="17" xfId="0" applyNumberFormat="1" applyFont="1" applyFill="1" applyBorder="1" applyAlignment="1" applyProtection="1">
      <alignment horizontal="right" vertical="center"/>
      <protection hidden="1"/>
    </xf>
    <xf numFmtId="191" fontId="7" fillId="33" borderId="11" xfId="50" applyNumberFormat="1" applyFont="1" applyFill="1" applyBorder="1" applyAlignment="1" applyProtection="1">
      <alignment horizontal="center" vertical="center"/>
      <protection hidden="1"/>
    </xf>
    <xf numFmtId="191" fontId="4" fillId="33" borderId="11" xfId="50" applyNumberFormat="1" applyFont="1" applyFill="1" applyBorder="1" applyAlignment="1" applyProtection="1">
      <alignment horizontal="center" vertical="center" wrapText="1"/>
      <protection hidden="1"/>
    </xf>
    <xf numFmtId="191" fontId="10" fillId="33" borderId="18" xfId="50" applyNumberFormat="1" applyFont="1" applyFill="1" applyBorder="1" applyAlignment="1" applyProtection="1">
      <alignment horizontal="center" vertical="center"/>
      <protection hidden="1"/>
    </xf>
    <xf numFmtId="191" fontId="9" fillId="33" borderId="18" xfId="50" applyNumberFormat="1" applyFont="1" applyFill="1" applyBorder="1" applyAlignment="1" applyProtection="1">
      <alignment horizontal="center" vertical="center" wrapText="1"/>
      <protection hidden="1"/>
    </xf>
    <xf numFmtId="191" fontId="9" fillId="33" borderId="11" xfId="50" applyNumberFormat="1" applyFont="1" applyFill="1" applyBorder="1" applyAlignment="1" applyProtection="1">
      <alignment horizontal="center" vertical="center"/>
      <protection hidden="1"/>
    </xf>
    <xf numFmtId="191" fontId="4" fillId="33" borderId="19" xfId="50" applyNumberFormat="1" applyFont="1" applyFill="1" applyBorder="1" applyAlignment="1" applyProtection="1">
      <alignment vertical="center"/>
      <protection hidden="1"/>
    </xf>
    <xf numFmtId="191" fontId="4" fillId="33" borderId="20" xfId="50" applyNumberFormat="1" applyFont="1" applyFill="1" applyBorder="1" applyAlignment="1" applyProtection="1">
      <alignment vertical="center"/>
      <protection hidden="1"/>
    </xf>
    <xf numFmtId="191" fontId="4" fillId="33" borderId="21" xfId="50" applyNumberFormat="1" applyFont="1" applyFill="1" applyBorder="1" applyAlignment="1" applyProtection="1">
      <alignment vertical="center"/>
      <protection hidden="1"/>
    </xf>
    <xf numFmtId="191" fontId="4" fillId="33" borderId="0" xfId="0" applyNumberFormat="1" applyFont="1" applyFill="1" applyBorder="1" applyAlignment="1" applyProtection="1">
      <alignment horizontal="center" vertical="center"/>
      <protection hidden="1"/>
    </xf>
    <xf numFmtId="191" fontId="4" fillId="33" borderId="0" xfId="0" applyNumberFormat="1" applyFont="1" applyFill="1" applyAlignment="1" applyProtection="1">
      <alignment horizontal="center" vertical="center"/>
      <protection hidden="1"/>
    </xf>
    <xf numFmtId="191" fontId="7" fillId="33" borderId="19" xfId="50" applyNumberFormat="1" applyFont="1" applyFill="1" applyBorder="1" applyAlignment="1" applyProtection="1">
      <alignment horizontal="right" vertical="center"/>
      <protection hidden="1"/>
    </xf>
    <xf numFmtId="191" fontId="4" fillId="33" borderId="22" xfId="50" applyNumberFormat="1" applyFont="1" applyFill="1" applyBorder="1" applyAlignment="1" applyProtection="1">
      <alignment vertical="center"/>
      <protection hidden="1"/>
    </xf>
    <xf numFmtId="191" fontId="10" fillId="33" borderId="23" xfId="50" applyNumberFormat="1" applyFont="1" applyFill="1" applyBorder="1" applyAlignment="1" applyProtection="1">
      <alignment horizontal="center" vertical="center"/>
      <protection hidden="1"/>
    </xf>
    <xf numFmtId="4" fontId="10" fillId="33" borderId="23" xfId="50" applyNumberFormat="1" applyFont="1" applyFill="1" applyBorder="1" applyAlignment="1" applyProtection="1">
      <alignment horizontal="center" vertical="center"/>
      <protection hidden="1"/>
    </xf>
    <xf numFmtId="4" fontId="10" fillId="33" borderId="15" xfId="50" applyNumberFormat="1" applyFont="1" applyFill="1" applyBorder="1" applyAlignment="1" applyProtection="1">
      <alignment horizontal="center" vertical="center"/>
      <protection hidden="1"/>
    </xf>
    <xf numFmtId="191" fontId="10" fillId="33" borderId="11" xfId="50" applyNumberFormat="1" applyFont="1" applyFill="1" applyBorder="1" applyAlignment="1" applyProtection="1">
      <alignment horizontal="right" vertical="center"/>
      <protection hidden="1"/>
    </xf>
    <xf numFmtId="191" fontId="4" fillId="33" borderId="11" xfId="50" applyNumberFormat="1" applyFont="1" applyFill="1" applyBorder="1" applyAlignment="1" applyProtection="1">
      <alignment horizontal="center" vertical="center" wrapText="1"/>
      <protection hidden="1"/>
    </xf>
    <xf numFmtId="191" fontId="7" fillId="34" borderId="11" xfId="50" applyNumberFormat="1" applyFont="1" applyFill="1" applyBorder="1" applyAlignment="1" applyProtection="1">
      <alignment horizontal="center" vertical="center" wrapText="1"/>
      <protection hidden="1"/>
    </xf>
    <xf numFmtId="191" fontId="8" fillId="33" borderId="24" xfId="0" applyNumberFormat="1" applyFont="1" applyFill="1" applyBorder="1" applyAlignment="1" applyProtection="1">
      <alignment horizontal="center" vertical="center" wrapText="1"/>
      <protection hidden="1"/>
    </xf>
    <xf numFmtId="191" fontId="8" fillId="33" borderId="25" xfId="0" applyNumberFormat="1" applyFont="1" applyFill="1" applyBorder="1" applyAlignment="1" applyProtection="1">
      <alignment horizontal="center" vertical="center" wrapText="1"/>
      <protection hidden="1"/>
    </xf>
    <xf numFmtId="191" fontId="8" fillId="33" borderId="12" xfId="0" applyNumberFormat="1" applyFont="1" applyFill="1" applyBorder="1" applyAlignment="1" applyProtection="1">
      <alignment horizontal="center" vertical="center" wrapText="1"/>
      <protection hidden="1"/>
    </xf>
    <xf numFmtId="191" fontId="8" fillId="33" borderId="13" xfId="0" applyNumberFormat="1" applyFont="1" applyFill="1" applyBorder="1" applyAlignment="1" applyProtection="1">
      <alignment horizontal="center" vertical="center" wrapText="1"/>
      <protection hidden="1"/>
    </xf>
    <xf numFmtId="191" fontId="7" fillId="33" borderId="24" xfId="50" applyNumberFormat="1" applyFont="1" applyFill="1" applyBorder="1" applyAlignment="1" applyProtection="1">
      <alignment horizontal="center" vertical="center"/>
      <protection hidden="1"/>
    </xf>
    <xf numFmtId="191" fontId="7" fillId="33" borderId="12" xfId="50" applyNumberFormat="1" applyFont="1" applyFill="1" applyBorder="1" applyAlignment="1" applyProtection="1">
      <alignment horizontal="center" vertical="center"/>
      <protection hidden="1"/>
    </xf>
    <xf numFmtId="191" fontId="7" fillId="34" borderId="11" xfId="50" applyNumberFormat="1" applyFont="1" applyFill="1" applyBorder="1" applyAlignment="1" applyProtection="1">
      <alignment horizontal="center" vertical="center"/>
      <protection hidden="1"/>
    </xf>
    <xf numFmtId="191" fontId="4" fillId="33" borderId="26" xfId="50" applyNumberFormat="1" applyFont="1" applyFill="1" applyBorder="1" applyAlignment="1" applyProtection="1">
      <alignment horizontal="center" vertical="center" wrapText="1"/>
      <protection hidden="1"/>
    </xf>
    <xf numFmtId="191" fontId="4" fillId="33" borderId="18" xfId="50" applyNumberFormat="1" applyFont="1" applyFill="1" applyBorder="1" applyAlignment="1" applyProtection="1">
      <alignment horizontal="center" vertical="center" wrapText="1"/>
      <protection hidden="1"/>
    </xf>
    <xf numFmtId="191" fontId="7" fillId="33" borderId="11" xfId="50" applyNumberFormat="1" applyFont="1" applyFill="1" applyBorder="1" applyAlignment="1" applyProtection="1">
      <alignment horizontal="center" vertical="center"/>
      <protection hidden="1"/>
    </xf>
    <xf numFmtId="191" fontId="7" fillId="33" borderId="13" xfId="50" applyNumberFormat="1" applyFont="1" applyFill="1" applyBorder="1" applyAlignment="1" applyProtection="1">
      <alignment horizontal="center" vertical="center"/>
      <protection hidden="1"/>
    </xf>
    <xf numFmtId="191" fontId="7" fillId="33" borderId="27" xfId="50" applyNumberFormat="1" applyFont="1" applyFill="1" applyBorder="1" applyAlignment="1" applyProtection="1">
      <alignment horizontal="center" vertical="center"/>
      <protection hidden="1"/>
    </xf>
    <xf numFmtId="191" fontId="7" fillId="33" borderId="22" xfId="50" applyNumberFormat="1" applyFont="1" applyFill="1" applyBorder="1" applyAlignment="1" applyProtection="1">
      <alignment horizontal="center" vertical="center"/>
      <protection hidden="1"/>
    </xf>
    <xf numFmtId="191" fontId="7" fillId="33" borderId="11" xfId="50" applyNumberFormat="1" applyFont="1" applyFill="1" applyBorder="1" applyAlignment="1" applyProtection="1">
      <alignment horizontal="right" vertical="center"/>
      <protection hidden="1"/>
    </xf>
    <xf numFmtId="191" fontId="6" fillId="33" borderId="28" xfId="0" applyNumberFormat="1" applyFont="1" applyFill="1" applyBorder="1" applyAlignment="1" applyProtection="1">
      <alignment horizontal="center" vertical="center"/>
      <protection hidden="1"/>
    </xf>
    <xf numFmtId="191" fontId="6" fillId="33" borderId="25" xfId="0" applyNumberFormat="1" applyFont="1" applyFill="1" applyBorder="1" applyAlignment="1" applyProtection="1">
      <alignment horizontal="center" vertical="center"/>
      <protection hidden="1"/>
    </xf>
    <xf numFmtId="191" fontId="7" fillId="33" borderId="23" xfId="50" applyNumberFormat="1" applyFont="1" applyFill="1" applyBorder="1" applyAlignment="1" applyProtection="1">
      <alignment horizontal="center" vertical="center"/>
      <protection hidden="1"/>
    </xf>
    <xf numFmtId="4" fontId="10" fillId="33" borderId="26" xfId="50" applyNumberFormat="1" applyFont="1" applyFill="1" applyBorder="1" applyAlignment="1" applyProtection="1">
      <alignment horizontal="center" vertical="center"/>
      <protection hidden="1"/>
    </xf>
    <xf numFmtId="4" fontId="10" fillId="33" borderId="18" xfId="50" applyNumberFormat="1" applyFont="1" applyFill="1" applyBorder="1" applyAlignment="1" applyProtection="1">
      <alignment horizontal="center" vertical="center"/>
      <protection hidden="1"/>
    </xf>
    <xf numFmtId="191" fontId="16" fillId="34" borderId="11" xfId="50" applyNumberFormat="1" applyFont="1" applyFill="1" applyBorder="1" applyAlignment="1" applyProtection="1">
      <alignment horizontal="center" vertical="center"/>
      <protection hidden="1"/>
    </xf>
    <xf numFmtId="191" fontId="16" fillId="34" borderId="13" xfId="50" applyNumberFormat="1" applyFont="1" applyFill="1" applyBorder="1" applyAlignment="1" applyProtection="1">
      <alignment horizontal="center" vertical="center"/>
      <protection hidden="1"/>
    </xf>
    <xf numFmtId="191" fontId="16" fillId="34" borderId="23" xfId="50" applyNumberFormat="1" applyFont="1" applyFill="1" applyBorder="1" applyAlignment="1" applyProtection="1">
      <alignment horizontal="center" vertical="center"/>
      <protection hidden="1"/>
    </xf>
    <xf numFmtId="191" fontId="16" fillId="34" borderId="15" xfId="50" applyNumberFormat="1" applyFont="1" applyFill="1" applyBorder="1" applyAlignment="1" applyProtection="1">
      <alignment horizontal="center" vertical="center"/>
      <protection hidden="1"/>
    </xf>
    <xf numFmtId="191" fontId="9" fillId="33" borderId="19" xfId="50" applyNumberFormat="1" applyFont="1" applyFill="1" applyBorder="1" applyAlignment="1" applyProtection="1">
      <alignment vertical="center"/>
      <protection hidden="1"/>
    </xf>
    <xf numFmtId="191" fontId="9" fillId="33" borderId="20" xfId="50" applyNumberFormat="1" applyFont="1" applyFill="1" applyBorder="1" applyAlignment="1" applyProtection="1">
      <alignment vertical="center"/>
      <protection hidden="1"/>
    </xf>
    <xf numFmtId="191" fontId="9" fillId="33" borderId="18" xfId="50" applyNumberFormat="1" applyFont="1" applyFill="1" applyBorder="1" applyAlignment="1" applyProtection="1">
      <alignment vertical="center"/>
      <protection hidden="1"/>
    </xf>
    <xf numFmtId="191" fontId="10" fillId="33" borderId="11" xfId="50" applyNumberFormat="1" applyFont="1" applyFill="1" applyBorder="1" applyAlignment="1" applyProtection="1">
      <alignment horizontal="center" vertical="center"/>
      <protection hidden="1"/>
    </xf>
    <xf numFmtId="191" fontId="14" fillId="35" borderId="29" xfId="0" applyNumberFormat="1" applyFont="1" applyFill="1" applyBorder="1" applyAlignment="1" applyProtection="1">
      <alignment horizontal="center" vertical="center"/>
      <protection hidden="1"/>
    </xf>
    <xf numFmtId="191" fontId="14" fillId="35" borderId="10" xfId="0" applyNumberFormat="1" applyFont="1" applyFill="1" applyBorder="1" applyAlignment="1" applyProtection="1">
      <alignment horizontal="center" vertical="center"/>
      <protection hidden="1"/>
    </xf>
    <xf numFmtId="191" fontId="14" fillId="35" borderId="30" xfId="0" applyNumberFormat="1" applyFont="1" applyFill="1" applyBorder="1" applyAlignment="1" applyProtection="1">
      <alignment horizontal="center" vertical="center"/>
      <protection hidden="1"/>
    </xf>
    <xf numFmtId="191" fontId="7" fillId="33" borderId="24" xfId="0" applyNumberFormat="1" applyFont="1" applyFill="1" applyBorder="1" applyAlignment="1" applyProtection="1">
      <alignment horizontal="center" vertical="center"/>
      <protection hidden="1"/>
    </xf>
    <xf numFmtId="191" fontId="7" fillId="33" borderId="28" xfId="0" applyNumberFormat="1" applyFont="1" applyFill="1" applyBorder="1" applyAlignment="1" applyProtection="1">
      <alignment horizontal="center" vertical="center"/>
      <protection hidden="1"/>
    </xf>
    <xf numFmtId="191" fontId="7" fillId="33" borderId="25" xfId="0" applyNumberFormat="1" applyFont="1" applyFill="1" applyBorder="1" applyAlignment="1" applyProtection="1">
      <alignment horizontal="center" vertical="center"/>
      <protection hidden="1"/>
    </xf>
    <xf numFmtId="191" fontId="11" fillId="33" borderId="11" xfId="50" applyNumberFormat="1" applyFont="1" applyFill="1" applyBorder="1" applyAlignment="1" applyProtection="1">
      <alignment horizontal="center" vertical="center" wrapText="1"/>
      <protection hidden="1"/>
    </xf>
    <xf numFmtId="191" fontId="11" fillId="33" borderId="13" xfId="50" applyNumberFormat="1" applyFont="1" applyFill="1" applyBorder="1" applyAlignment="1" applyProtection="1">
      <alignment horizontal="center" vertical="center" wrapText="1"/>
      <protection hidden="1"/>
    </xf>
    <xf numFmtId="191" fontId="10" fillId="33" borderId="13" xfId="50" applyNumberFormat="1" applyFont="1" applyFill="1" applyBorder="1" applyAlignment="1" applyProtection="1">
      <alignment horizontal="center" vertical="center"/>
      <protection hidden="1"/>
    </xf>
    <xf numFmtId="191" fontId="10" fillId="33" borderId="26" xfId="50" applyNumberFormat="1" applyFont="1" applyFill="1" applyBorder="1" applyAlignment="1" applyProtection="1">
      <alignment horizontal="center" vertical="center"/>
      <protection hidden="1"/>
    </xf>
    <xf numFmtId="191" fontId="10" fillId="33" borderId="20" xfId="50" applyNumberFormat="1" applyFont="1" applyFill="1" applyBorder="1" applyAlignment="1" applyProtection="1">
      <alignment horizontal="center" vertical="center"/>
      <protection hidden="1"/>
    </xf>
    <xf numFmtId="191" fontId="12" fillId="33" borderId="0" xfId="0" applyNumberFormat="1" applyFont="1" applyFill="1" applyAlignment="1" applyProtection="1">
      <alignment horizontal="center" vertical="center"/>
      <protection hidden="1"/>
    </xf>
    <xf numFmtId="191" fontId="13" fillId="33" borderId="0" xfId="0" applyNumberFormat="1" applyFont="1" applyFill="1" applyAlignment="1" applyProtection="1">
      <alignment horizontal="center" vertical="center"/>
      <protection hidden="1"/>
    </xf>
    <xf numFmtId="191" fontId="15" fillId="35" borderId="29" xfId="0" applyNumberFormat="1" applyFont="1" applyFill="1" applyBorder="1" applyAlignment="1" applyProtection="1">
      <alignment horizontal="center" vertical="center"/>
      <protection hidden="1"/>
    </xf>
    <xf numFmtId="191" fontId="15" fillId="35" borderId="10" xfId="0" applyNumberFormat="1" applyFont="1" applyFill="1" applyBorder="1" applyAlignment="1" applyProtection="1">
      <alignment horizontal="center" vertical="center"/>
      <protection hidden="1"/>
    </xf>
    <xf numFmtId="191" fontId="15" fillId="35" borderId="30" xfId="0" applyNumberFormat="1" applyFont="1" applyFill="1" applyBorder="1" applyAlignment="1" applyProtection="1">
      <alignment horizontal="center" vertical="center"/>
      <protection hidden="1"/>
    </xf>
    <xf numFmtId="191" fontId="9" fillId="33" borderId="12" xfId="50" applyNumberFormat="1" applyFont="1" applyFill="1" applyBorder="1" applyAlignment="1" applyProtection="1">
      <alignment horizontal="left" vertical="center"/>
      <protection hidden="1"/>
    </xf>
    <xf numFmtId="191" fontId="9" fillId="33" borderId="11" xfId="50" applyNumberFormat="1" applyFont="1" applyFill="1" applyBorder="1" applyAlignment="1" applyProtection="1">
      <alignment horizontal="left" vertical="center"/>
      <protection hidden="1"/>
    </xf>
    <xf numFmtId="191" fontId="16" fillId="34" borderId="31" xfId="50" applyNumberFormat="1" applyFont="1" applyFill="1" applyBorder="1" applyAlignment="1" applyProtection="1">
      <alignment horizontal="center" vertical="center"/>
      <protection hidden="1"/>
    </xf>
    <xf numFmtId="191" fontId="16" fillId="34" borderId="32" xfId="50" applyNumberFormat="1" applyFont="1" applyFill="1" applyBorder="1" applyAlignment="1" applyProtection="1">
      <alignment horizontal="center" vertical="center"/>
      <protection hidden="1"/>
    </xf>
    <xf numFmtId="191" fontId="16" fillId="34" borderId="33" xfId="50" applyNumberFormat="1" applyFont="1" applyFill="1" applyBorder="1" applyAlignment="1" applyProtection="1">
      <alignment horizontal="center" vertical="center"/>
      <protection hidden="1"/>
    </xf>
    <xf numFmtId="191" fontId="16" fillId="34" borderId="34" xfId="50" applyNumberFormat="1" applyFont="1" applyFill="1" applyBorder="1" applyAlignment="1" applyProtection="1">
      <alignment horizontal="center" vertical="center"/>
      <protection hidden="1"/>
    </xf>
    <xf numFmtId="191" fontId="8" fillId="33" borderId="29" xfId="0" applyNumberFormat="1" applyFont="1" applyFill="1" applyBorder="1" applyAlignment="1" applyProtection="1">
      <alignment horizontal="center" vertical="center" wrapText="1"/>
      <protection hidden="1"/>
    </xf>
    <xf numFmtId="191" fontId="8" fillId="33" borderId="30" xfId="0" applyNumberFormat="1" applyFont="1" applyFill="1" applyBorder="1" applyAlignment="1" applyProtection="1">
      <alignment horizontal="center" vertical="center" wrapText="1"/>
      <protection hidden="1"/>
    </xf>
    <xf numFmtId="191" fontId="8" fillId="33" borderId="35" xfId="0" applyNumberFormat="1" applyFont="1" applyFill="1" applyBorder="1" applyAlignment="1" applyProtection="1">
      <alignment horizontal="center" vertical="center" wrapText="1"/>
      <protection hidden="1"/>
    </xf>
    <xf numFmtId="191" fontId="8" fillId="33" borderId="36" xfId="0" applyNumberFormat="1" applyFont="1" applyFill="1" applyBorder="1" applyAlignment="1" applyProtection="1">
      <alignment horizontal="center" vertical="center" wrapText="1"/>
      <protection hidden="1"/>
    </xf>
    <xf numFmtId="191" fontId="6" fillId="33" borderId="24" xfId="0" applyNumberFormat="1" applyFont="1" applyFill="1" applyBorder="1" applyAlignment="1" applyProtection="1">
      <alignment horizontal="center" vertical="center"/>
      <protection hidden="1"/>
    </xf>
    <xf numFmtId="191" fontId="6" fillId="33" borderId="37" xfId="0" applyNumberFormat="1" applyFont="1" applyFill="1" applyBorder="1" applyAlignment="1" applyProtection="1">
      <alignment horizontal="center" vertical="center"/>
      <protection hidden="1"/>
    </xf>
    <xf numFmtId="191" fontId="7" fillId="34" borderId="38" xfId="50" applyNumberFormat="1" applyFont="1" applyFill="1" applyBorder="1" applyAlignment="1" applyProtection="1">
      <alignment horizontal="center" vertical="center" wrapText="1"/>
      <protection hidden="1"/>
    </xf>
    <xf numFmtId="191" fontId="7" fillId="34" borderId="39" xfId="50" applyNumberFormat="1" applyFont="1" applyFill="1" applyBorder="1" applyAlignment="1" applyProtection="1">
      <alignment horizontal="center" vertical="center" wrapText="1"/>
      <protection hidden="1"/>
    </xf>
    <xf numFmtId="191" fontId="7" fillId="33" borderId="26" xfId="50" applyNumberFormat="1" applyFont="1" applyFill="1" applyBorder="1" applyAlignment="1" applyProtection="1">
      <alignment horizontal="right" vertical="center"/>
      <protection hidden="1"/>
    </xf>
    <xf numFmtId="191" fontId="7" fillId="33" borderId="18" xfId="50" applyNumberFormat="1" applyFont="1" applyFill="1" applyBorder="1" applyAlignment="1" applyProtection="1">
      <alignment horizontal="right" vertical="center"/>
      <protection hidden="1"/>
    </xf>
    <xf numFmtId="191" fontId="7" fillId="33" borderId="38" xfId="50" applyNumberFormat="1" applyFont="1" applyFill="1" applyBorder="1" applyAlignment="1" applyProtection="1">
      <alignment horizontal="left" vertical="center"/>
      <protection hidden="1"/>
    </xf>
    <xf numFmtId="191" fontId="7" fillId="33" borderId="39" xfId="50" applyNumberFormat="1" applyFont="1" applyFill="1" applyBorder="1" applyAlignment="1" applyProtection="1">
      <alignment horizontal="left" vertical="center"/>
      <protection hidden="1"/>
    </xf>
    <xf numFmtId="191" fontId="7" fillId="33" borderId="40" xfId="50" applyNumberFormat="1" applyFont="1" applyFill="1" applyBorder="1" applyAlignment="1" applyProtection="1">
      <alignment horizontal="left" vertical="center"/>
      <protection hidden="1"/>
    </xf>
    <xf numFmtId="191" fontId="7" fillId="33" borderId="41" xfId="50" applyNumberFormat="1" applyFont="1" applyFill="1" applyBorder="1" applyAlignment="1" applyProtection="1">
      <alignment horizontal="left" vertical="center"/>
      <protection hidden="1"/>
    </xf>
    <xf numFmtId="191" fontId="7" fillId="33" borderId="35" xfId="50" applyNumberFormat="1" applyFont="1" applyFill="1" applyBorder="1" applyAlignment="1" applyProtection="1">
      <alignment horizontal="left" vertical="center"/>
      <protection hidden="1"/>
    </xf>
    <xf numFmtId="191" fontId="7" fillId="33" borderId="42" xfId="50" applyNumberFormat="1" applyFont="1" applyFill="1" applyBorder="1" applyAlignment="1" applyProtection="1">
      <alignment horizontal="left" vertical="center"/>
      <protection hidden="1"/>
    </xf>
    <xf numFmtId="191" fontId="17" fillId="34" borderId="24" xfId="0" applyNumberFormat="1" applyFont="1" applyFill="1" applyBorder="1" applyAlignment="1" applyProtection="1">
      <alignment horizontal="center" vertical="center"/>
      <protection hidden="1"/>
    </xf>
    <xf numFmtId="191" fontId="17" fillId="34" borderId="25" xfId="0" applyNumberFormat="1" applyFont="1" applyFill="1" applyBorder="1" applyAlignment="1" applyProtection="1">
      <alignment horizontal="center" vertical="center"/>
      <protection hidden="1"/>
    </xf>
    <xf numFmtId="191" fontId="17" fillId="34" borderId="14" xfId="0" applyNumberFormat="1" applyFont="1" applyFill="1" applyBorder="1" applyAlignment="1" applyProtection="1">
      <alignment horizontal="center" vertical="center"/>
      <protection hidden="1"/>
    </xf>
    <xf numFmtId="191" fontId="17" fillId="34" borderId="15" xfId="0" applyNumberFormat="1" applyFont="1" applyFill="1" applyBorder="1" applyAlignment="1" applyProtection="1">
      <alignment horizontal="center" vertical="center"/>
      <protection hidden="1"/>
    </xf>
    <xf numFmtId="191" fontId="7" fillId="33" borderId="21" xfId="50" applyNumberFormat="1" applyFont="1" applyFill="1" applyBorder="1" applyAlignment="1" applyProtection="1">
      <alignment horizontal="center" vertical="center"/>
      <protection hidden="1"/>
    </xf>
    <xf numFmtId="191" fontId="7" fillId="33" borderId="43" xfId="50" applyNumberFormat="1" applyFont="1" applyFill="1" applyBorder="1" applyAlignment="1" applyProtection="1">
      <alignment horizontal="left" vertical="center"/>
      <protection hidden="1"/>
    </xf>
    <xf numFmtId="191" fontId="7" fillId="33" borderId="0" xfId="50" applyNumberFormat="1" applyFont="1" applyFill="1" applyBorder="1" applyAlignment="1" applyProtection="1">
      <alignment horizontal="left" vertical="center"/>
      <protection hidden="1"/>
    </xf>
    <xf numFmtId="191" fontId="7" fillId="33" borderId="44" xfId="50" applyNumberFormat="1" applyFont="1" applyFill="1" applyBorder="1" applyAlignment="1" applyProtection="1">
      <alignment horizontal="left" vertical="center"/>
      <protection hidden="1"/>
    </xf>
    <xf numFmtId="191" fontId="10" fillId="33" borderId="18" xfId="50" applyNumberFormat="1" applyFont="1" applyFill="1" applyBorder="1" applyAlignment="1" applyProtection="1">
      <alignment horizontal="center" vertical="center"/>
      <protection hidden="1"/>
    </xf>
    <xf numFmtId="191" fontId="11" fillId="33" borderId="31" xfId="50" applyNumberFormat="1" applyFont="1" applyFill="1" applyBorder="1" applyAlignment="1" applyProtection="1">
      <alignment horizontal="center" vertical="center"/>
      <protection hidden="1"/>
    </xf>
    <xf numFmtId="191" fontId="11" fillId="33" borderId="39" xfId="50" applyNumberFormat="1" applyFont="1" applyFill="1" applyBorder="1" applyAlignment="1" applyProtection="1">
      <alignment horizontal="center" vertical="center"/>
      <protection hidden="1"/>
    </xf>
    <xf numFmtId="191" fontId="11" fillId="33" borderId="45" xfId="50" applyNumberFormat="1" applyFont="1" applyFill="1" applyBorder="1" applyAlignment="1" applyProtection="1">
      <alignment horizontal="center" vertical="center"/>
      <protection hidden="1"/>
    </xf>
    <xf numFmtId="191" fontId="11" fillId="33" borderId="42" xfId="50" applyNumberFormat="1" applyFont="1" applyFill="1" applyBorder="1" applyAlignment="1" applyProtection="1">
      <alignment horizontal="center" vertical="center"/>
      <protection hidden="1"/>
    </xf>
    <xf numFmtId="191" fontId="11" fillId="33" borderId="31" xfId="50" applyNumberFormat="1" applyFont="1" applyFill="1" applyBorder="1" applyAlignment="1" applyProtection="1">
      <alignment horizontal="center" vertical="center" wrapText="1"/>
      <protection hidden="1"/>
    </xf>
    <xf numFmtId="191" fontId="11" fillId="33" borderId="43" xfId="50" applyNumberFormat="1" applyFont="1" applyFill="1" applyBorder="1" applyAlignment="1" applyProtection="1">
      <alignment horizontal="center" vertical="center" wrapText="1"/>
      <protection hidden="1"/>
    </xf>
    <xf numFmtId="191" fontId="11" fillId="33" borderId="45" xfId="50" applyNumberFormat="1" applyFont="1" applyFill="1" applyBorder="1" applyAlignment="1" applyProtection="1">
      <alignment horizontal="center" vertical="center" wrapText="1"/>
      <protection hidden="1"/>
    </xf>
    <xf numFmtId="191" fontId="11" fillId="33" borderId="44" xfId="50" applyNumberFormat="1" applyFont="1" applyFill="1" applyBorder="1" applyAlignment="1" applyProtection="1">
      <alignment horizontal="center" vertical="center" wrapText="1"/>
      <protection hidden="1"/>
    </xf>
    <xf numFmtId="191" fontId="11" fillId="33" borderId="39" xfId="50" applyNumberFormat="1" applyFont="1" applyFill="1" applyBorder="1" applyAlignment="1" applyProtection="1">
      <alignment horizontal="center" vertical="center" wrapText="1"/>
      <protection hidden="1"/>
    </xf>
    <xf numFmtId="191" fontId="11" fillId="33" borderId="42" xfId="50" applyNumberFormat="1" applyFont="1" applyFill="1" applyBorder="1" applyAlignment="1" applyProtection="1">
      <alignment horizontal="center" vertical="center" wrapText="1"/>
      <protection hidden="1"/>
    </xf>
    <xf numFmtId="191" fontId="17" fillId="34" borderId="29" xfId="0" applyNumberFormat="1" applyFont="1" applyFill="1" applyBorder="1" applyAlignment="1" applyProtection="1">
      <alignment horizontal="center" vertical="center"/>
      <protection hidden="1"/>
    </xf>
    <xf numFmtId="191" fontId="17" fillId="34" borderId="30" xfId="0" applyNumberFormat="1" applyFont="1" applyFill="1" applyBorder="1" applyAlignment="1" applyProtection="1">
      <alignment horizontal="center" vertical="center"/>
      <protection hidden="1"/>
    </xf>
    <xf numFmtId="191" fontId="17" fillId="34" borderId="46" xfId="0" applyNumberFormat="1" applyFont="1" applyFill="1" applyBorder="1" applyAlignment="1" applyProtection="1">
      <alignment horizontal="center" vertical="center"/>
      <protection hidden="1"/>
    </xf>
    <xf numFmtId="191" fontId="17" fillId="34" borderId="34" xfId="0" applyNumberFormat="1" applyFont="1" applyFill="1" applyBorder="1" applyAlignment="1" applyProtection="1">
      <alignment horizontal="center" vertical="center"/>
      <protection hidden="1"/>
    </xf>
    <xf numFmtId="191" fontId="7" fillId="33" borderId="14" xfId="50" applyNumberFormat="1" applyFont="1" applyFill="1" applyBorder="1" applyAlignment="1" applyProtection="1">
      <alignment horizontal="center" vertical="center"/>
      <protection hidden="1"/>
    </xf>
    <xf numFmtId="193" fontId="18" fillId="0" borderId="0" xfId="0" applyNumberFormat="1" applyFont="1" applyAlignment="1">
      <alignment horizontal="left" vertical="center"/>
    </xf>
    <xf numFmtId="193" fontId="18" fillId="0" borderId="47" xfId="0" applyNumberFormat="1" applyFont="1" applyBorder="1" applyAlignment="1">
      <alignment horizontal="left" vertical="center"/>
    </xf>
    <xf numFmtId="191" fontId="10" fillId="33" borderId="23" xfId="50" applyNumberFormat="1" applyFont="1" applyFill="1" applyBorder="1" applyAlignment="1" applyProtection="1">
      <alignment horizontal="center" vertical="center"/>
      <protection hidden="1"/>
    </xf>
    <xf numFmtId="191" fontId="9" fillId="33" borderId="14" xfId="50" applyNumberFormat="1" applyFont="1" applyFill="1" applyBorder="1" applyAlignment="1" applyProtection="1">
      <alignment horizontal="left" vertical="center"/>
      <protection hidden="1"/>
    </xf>
    <xf numFmtId="191" fontId="9" fillId="33" borderId="23" xfId="50" applyNumberFormat="1" applyFont="1" applyFill="1" applyBorder="1" applyAlignment="1" applyProtection="1">
      <alignment horizontal="left" vertical="center"/>
      <protection hidden="1"/>
    </xf>
    <xf numFmtId="191" fontId="10" fillId="33" borderId="27" xfId="50" applyNumberFormat="1" applyFont="1" applyFill="1" applyBorder="1" applyAlignment="1" applyProtection="1">
      <alignment horizontal="center" vertical="center"/>
      <protection hidden="1"/>
    </xf>
    <xf numFmtId="191" fontId="10" fillId="33" borderId="48" xfId="50" applyNumberFormat="1" applyFont="1" applyFill="1" applyBorder="1" applyAlignment="1" applyProtection="1">
      <alignment horizontal="center" vertical="center"/>
      <protection hidden="1"/>
    </xf>
    <xf numFmtId="4" fontId="10" fillId="33" borderId="27" xfId="50" applyNumberFormat="1" applyFont="1" applyFill="1" applyBorder="1" applyAlignment="1" applyProtection="1">
      <alignment horizontal="center" vertical="center"/>
      <protection hidden="1"/>
    </xf>
    <xf numFmtId="4" fontId="10" fillId="33" borderId="22" xfId="50" applyNumberFormat="1" applyFont="1" applyFill="1" applyBorder="1" applyAlignment="1" applyProtection="1">
      <alignment horizontal="center" vertical="center"/>
      <protection hidden="1"/>
    </xf>
    <xf numFmtId="191" fontId="9" fillId="33" borderId="21" xfId="50" applyNumberFormat="1" applyFont="1" applyFill="1" applyBorder="1" applyAlignment="1" applyProtection="1">
      <alignment vertical="center"/>
      <protection hidden="1"/>
    </xf>
    <xf numFmtId="191" fontId="9" fillId="33" borderId="48" xfId="50" applyNumberFormat="1" applyFont="1" applyFill="1" applyBorder="1" applyAlignment="1" applyProtection="1">
      <alignment vertical="center"/>
      <protection hidden="1"/>
    </xf>
    <xf numFmtId="191" fontId="9" fillId="33" borderId="22" xfId="50" applyNumberFormat="1" applyFont="1" applyFill="1" applyBorder="1" applyAlignment="1" applyProtection="1">
      <alignment vertical="center"/>
      <protection hidden="1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rmal_Sayfa1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dxfs count="1"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1"/>
  <sheetViews>
    <sheetView showGridLines="0" tabSelected="1" view="pageBreakPreview" zoomScale="80" zoomScaleSheetLayoutView="80" zoomScalePageLayoutView="0" workbookViewId="0" topLeftCell="A1">
      <selection activeCell="A1" sqref="A1"/>
    </sheetView>
  </sheetViews>
  <sheetFormatPr defaultColWidth="0.85546875" defaultRowHeight="0" customHeight="1" zeroHeight="1"/>
  <cols>
    <col min="1" max="1" width="0.85546875" style="1" customWidth="1"/>
    <col min="2" max="2" width="19.7109375" style="1" customWidth="1"/>
    <col min="3" max="3" width="13.8515625" style="1" bestFit="1" customWidth="1"/>
    <col min="4" max="4" width="12.00390625" style="1" bestFit="1" customWidth="1"/>
    <col min="5" max="5" width="11.7109375" style="1" customWidth="1"/>
    <col min="6" max="6" width="14.00390625" style="1" customWidth="1"/>
    <col min="7" max="7" width="13.7109375" style="1" customWidth="1"/>
    <col min="8" max="8" width="12.7109375" style="1" customWidth="1"/>
    <col min="9" max="9" width="0.85546875" style="1" customWidth="1"/>
    <col min="10" max="10" width="11.28125" style="1" customWidth="1"/>
    <col min="11" max="11" width="13.7109375" style="1" customWidth="1"/>
    <col min="12" max="12" width="14.7109375" style="1" customWidth="1"/>
    <col min="13" max="13" width="0.85546875" style="1" customWidth="1"/>
    <col min="14" max="14" width="12.140625" style="1" customWidth="1"/>
    <col min="15" max="15" width="12.00390625" style="1" bestFit="1" customWidth="1"/>
    <col min="16" max="17" width="12.7109375" style="1" customWidth="1"/>
    <col min="18" max="18" width="0.85546875" style="1" customWidth="1"/>
    <col min="19" max="19" width="13.7109375" style="1" customWidth="1"/>
    <col min="20" max="20" width="10.7109375" style="1" customWidth="1"/>
    <col min="21" max="21" width="7.7109375" style="1" customWidth="1"/>
    <col min="22" max="22" width="3.57421875" style="1" customWidth="1"/>
    <col min="23" max="23" width="13.7109375" style="1" customWidth="1"/>
    <col min="24" max="24" width="14.7109375" style="1" customWidth="1"/>
    <col min="25" max="25" width="0.85546875" style="1" customWidth="1"/>
    <col min="26" max="26" width="14.7109375" style="1" customWidth="1"/>
    <col min="27" max="27" width="15.28125" style="1" customWidth="1"/>
    <col min="28" max="28" width="24.00390625" style="1" hidden="1" customWidth="1"/>
    <col min="29" max="255" width="9.140625" style="1" hidden="1" customWidth="1"/>
    <col min="256" max="16384" width="0.85546875" style="1" customWidth="1"/>
  </cols>
  <sheetData>
    <row r="1" spans="2:27" ht="31.5" customHeight="1">
      <c r="B1" s="91" t="s">
        <v>19</v>
      </c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</row>
    <row r="2" spans="2:27" ht="27.75" customHeight="1">
      <c r="B2" s="92" t="s">
        <v>26</v>
      </c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</row>
    <row r="3" spans="2:12" ht="2.25" customHeight="1" thickBot="1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2:27" ht="30" customHeight="1" thickBot="1">
      <c r="B4" s="80" t="s">
        <v>45</v>
      </c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2"/>
    </row>
    <row r="5" spans="2:27" ht="24.75" customHeight="1">
      <c r="B5" s="57" t="s">
        <v>0</v>
      </c>
      <c r="C5" s="67" t="s">
        <v>23</v>
      </c>
      <c r="D5" s="67"/>
      <c r="E5" s="67"/>
      <c r="F5" s="67"/>
      <c r="G5" s="67"/>
      <c r="H5" s="67"/>
      <c r="I5" s="67"/>
      <c r="J5" s="67"/>
      <c r="K5" s="67"/>
      <c r="L5" s="68"/>
      <c r="M5" s="3"/>
      <c r="N5" s="106" t="s">
        <v>24</v>
      </c>
      <c r="O5" s="107"/>
      <c r="P5" s="67"/>
      <c r="Q5" s="67"/>
      <c r="R5" s="67"/>
      <c r="S5" s="67"/>
      <c r="T5" s="67"/>
      <c r="U5" s="67"/>
      <c r="V5" s="67"/>
      <c r="W5" s="67"/>
      <c r="X5" s="68"/>
      <c r="Y5" s="3"/>
      <c r="Z5" s="102" t="s">
        <v>28</v>
      </c>
      <c r="AA5" s="103"/>
    </row>
    <row r="6" spans="2:27" ht="21.75" customHeight="1">
      <c r="B6" s="58"/>
      <c r="C6" s="59" t="s">
        <v>30</v>
      </c>
      <c r="D6" s="59"/>
      <c r="E6" s="52" t="s">
        <v>33</v>
      </c>
      <c r="F6" s="52"/>
      <c r="G6" s="52"/>
      <c r="H6" s="52"/>
      <c r="I6" s="52"/>
      <c r="J6" s="52"/>
      <c r="K6" s="62" t="s">
        <v>13</v>
      </c>
      <c r="L6" s="63"/>
      <c r="M6" s="5"/>
      <c r="N6" s="108" t="s">
        <v>30</v>
      </c>
      <c r="O6" s="109"/>
      <c r="P6" s="52" t="s">
        <v>33</v>
      </c>
      <c r="Q6" s="52"/>
      <c r="R6" s="52"/>
      <c r="S6" s="52"/>
      <c r="T6" s="52"/>
      <c r="U6" s="52"/>
      <c r="V6" s="52"/>
      <c r="W6" s="62" t="s">
        <v>13</v>
      </c>
      <c r="X6" s="63"/>
      <c r="Y6" s="5"/>
      <c r="Z6" s="104"/>
      <c r="AA6" s="105"/>
    </row>
    <row r="7" spans="2:27" ht="19.5" customHeight="1">
      <c r="B7" s="58"/>
      <c r="C7" s="39" t="s">
        <v>31</v>
      </c>
      <c r="D7" s="4" t="s">
        <v>32</v>
      </c>
      <c r="E7" s="36" t="s">
        <v>34</v>
      </c>
      <c r="F7" s="36" t="s">
        <v>35</v>
      </c>
      <c r="G7" s="36" t="s">
        <v>36</v>
      </c>
      <c r="H7" s="36" t="s">
        <v>37</v>
      </c>
      <c r="I7" s="60" t="s">
        <v>38</v>
      </c>
      <c r="J7" s="61"/>
      <c r="K7" s="4" t="s">
        <v>14</v>
      </c>
      <c r="L7" s="7" t="s">
        <v>16</v>
      </c>
      <c r="M7" s="5"/>
      <c r="N7" s="6" t="s">
        <v>31</v>
      </c>
      <c r="O7" s="38" t="s">
        <v>32</v>
      </c>
      <c r="P7" s="36" t="s">
        <v>34</v>
      </c>
      <c r="Q7" s="51" t="s">
        <v>42</v>
      </c>
      <c r="R7" s="51"/>
      <c r="S7" s="36" t="s">
        <v>36</v>
      </c>
      <c r="T7" s="36" t="s">
        <v>37</v>
      </c>
      <c r="U7" s="51" t="s">
        <v>38</v>
      </c>
      <c r="V7" s="51"/>
      <c r="W7" s="4" t="s">
        <v>14</v>
      </c>
      <c r="X7" s="7" t="s">
        <v>16</v>
      </c>
      <c r="Y7" s="43"/>
      <c r="Z7" s="6" t="s">
        <v>14</v>
      </c>
      <c r="AA7" s="7" t="s">
        <v>16</v>
      </c>
    </row>
    <row r="8" spans="2:27" ht="16.5" customHeight="1">
      <c r="B8" s="8" t="s">
        <v>1</v>
      </c>
      <c r="C8" s="9">
        <v>89560</v>
      </c>
      <c r="D8" s="28" t="s">
        <v>39</v>
      </c>
      <c r="E8" s="9">
        <v>0</v>
      </c>
      <c r="F8" s="9">
        <f>423+119</f>
        <v>542</v>
      </c>
      <c r="G8" s="9">
        <f>41+864</f>
        <v>905</v>
      </c>
      <c r="H8" s="9">
        <v>0</v>
      </c>
      <c r="I8" s="50">
        <v>0</v>
      </c>
      <c r="J8" s="50"/>
      <c r="K8" s="9">
        <f aca="true" t="shared" si="0" ref="K8:K15">SUM(C8:I8)</f>
        <v>91007</v>
      </c>
      <c r="L8" s="10">
        <f>K8</f>
        <v>91007</v>
      </c>
      <c r="M8" s="11"/>
      <c r="N8" s="14">
        <v>16979</v>
      </c>
      <c r="O8" s="28" t="s">
        <v>39</v>
      </c>
      <c r="P8" s="9">
        <v>0</v>
      </c>
      <c r="Q8" s="50">
        <v>129</v>
      </c>
      <c r="R8" s="50"/>
      <c r="S8" s="9">
        <f>39+31</f>
        <v>70</v>
      </c>
      <c r="T8" s="9">
        <v>0</v>
      </c>
      <c r="U8" s="50">
        <v>0</v>
      </c>
      <c r="V8" s="50"/>
      <c r="W8" s="9">
        <f aca="true" t="shared" si="1" ref="W8:W19">SUM(N8:V8)</f>
        <v>17178</v>
      </c>
      <c r="X8" s="10">
        <f>W8</f>
        <v>17178</v>
      </c>
      <c r="Y8" s="11"/>
      <c r="Z8" s="12">
        <f aca="true" t="shared" si="2" ref="Z8:Z20">W8+K8</f>
        <v>108185</v>
      </c>
      <c r="AA8" s="13">
        <f>Z8</f>
        <v>108185</v>
      </c>
    </row>
    <row r="9" spans="2:27" ht="16.5" customHeight="1">
      <c r="B9" s="8" t="s">
        <v>7</v>
      </c>
      <c r="C9" s="9">
        <v>129078</v>
      </c>
      <c r="D9" s="28" t="s">
        <v>39</v>
      </c>
      <c r="E9" s="9">
        <v>0</v>
      </c>
      <c r="F9" s="9">
        <f>379+103</f>
        <v>482</v>
      </c>
      <c r="G9" s="9">
        <f>10+480</f>
        <v>490</v>
      </c>
      <c r="H9" s="9">
        <v>1</v>
      </c>
      <c r="I9" s="50">
        <v>0</v>
      </c>
      <c r="J9" s="50"/>
      <c r="K9" s="9">
        <f t="shared" si="0"/>
        <v>130051</v>
      </c>
      <c r="L9" s="10">
        <f aca="true" t="shared" si="3" ref="L9:L19">L8+K9</f>
        <v>221058</v>
      </c>
      <c r="M9" s="11"/>
      <c r="N9" s="14">
        <v>18171</v>
      </c>
      <c r="O9" s="28" t="s">
        <v>39</v>
      </c>
      <c r="P9" s="9">
        <v>0</v>
      </c>
      <c r="Q9" s="50">
        <v>132</v>
      </c>
      <c r="R9" s="50"/>
      <c r="S9" s="9">
        <f>59+55</f>
        <v>114</v>
      </c>
      <c r="T9" s="9">
        <v>0</v>
      </c>
      <c r="U9" s="50">
        <v>0</v>
      </c>
      <c r="V9" s="50"/>
      <c r="W9" s="9">
        <f t="shared" si="1"/>
        <v>18417</v>
      </c>
      <c r="X9" s="10">
        <f aca="true" t="shared" si="4" ref="X9:X19">X8+W9</f>
        <v>35595</v>
      </c>
      <c r="Y9" s="11"/>
      <c r="Z9" s="12">
        <f t="shared" si="2"/>
        <v>148468</v>
      </c>
      <c r="AA9" s="13">
        <f aca="true" t="shared" si="5" ref="AA9:AA19">AA8+Z9</f>
        <v>256653</v>
      </c>
    </row>
    <row r="10" spans="2:27" ht="16.5" customHeight="1">
      <c r="B10" s="8" t="s">
        <v>2</v>
      </c>
      <c r="C10" s="9">
        <v>210206</v>
      </c>
      <c r="D10" s="28" t="s">
        <v>39</v>
      </c>
      <c r="E10" s="9">
        <v>0</v>
      </c>
      <c r="F10" s="9">
        <f>567+115</f>
        <v>682</v>
      </c>
      <c r="G10" s="9">
        <f>31+2882</f>
        <v>2913</v>
      </c>
      <c r="H10" s="9">
        <v>8</v>
      </c>
      <c r="I10" s="50">
        <v>3</v>
      </c>
      <c r="J10" s="50"/>
      <c r="K10" s="9">
        <f t="shared" si="0"/>
        <v>213812</v>
      </c>
      <c r="L10" s="10">
        <f t="shared" si="3"/>
        <v>434870</v>
      </c>
      <c r="M10" s="11"/>
      <c r="N10" s="14">
        <v>25637</v>
      </c>
      <c r="O10" s="28" t="s">
        <v>39</v>
      </c>
      <c r="P10" s="9">
        <v>0</v>
      </c>
      <c r="Q10" s="50">
        <v>138</v>
      </c>
      <c r="R10" s="50"/>
      <c r="S10" s="9">
        <f>87+56</f>
        <v>143</v>
      </c>
      <c r="T10" s="9">
        <v>0</v>
      </c>
      <c r="U10" s="50">
        <v>0</v>
      </c>
      <c r="V10" s="50"/>
      <c r="W10" s="9">
        <f t="shared" si="1"/>
        <v>25918</v>
      </c>
      <c r="X10" s="10">
        <f t="shared" si="4"/>
        <v>61513</v>
      </c>
      <c r="Y10" s="11"/>
      <c r="Z10" s="12">
        <f t="shared" si="2"/>
        <v>239730</v>
      </c>
      <c r="AA10" s="13">
        <f t="shared" si="5"/>
        <v>496383</v>
      </c>
    </row>
    <row r="11" spans="2:27" ht="16.5" customHeight="1">
      <c r="B11" s="8" t="s">
        <v>3</v>
      </c>
      <c r="C11" s="9">
        <v>451505</v>
      </c>
      <c r="D11" s="28" t="s">
        <v>39</v>
      </c>
      <c r="E11" s="9">
        <v>4194</v>
      </c>
      <c r="F11" s="9">
        <f>889+387</f>
        <v>1276</v>
      </c>
      <c r="G11" s="9">
        <f>32+1650</f>
        <v>1682</v>
      </c>
      <c r="H11" s="9">
        <v>80</v>
      </c>
      <c r="I11" s="50">
        <v>3</v>
      </c>
      <c r="J11" s="50"/>
      <c r="K11" s="9">
        <f t="shared" si="0"/>
        <v>458740</v>
      </c>
      <c r="L11" s="10">
        <f t="shared" si="3"/>
        <v>893610</v>
      </c>
      <c r="M11" s="11"/>
      <c r="N11" s="14">
        <v>27010</v>
      </c>
      <c r="O11" s="28" t="s">
        <v>39</v>
      </c>
      <c r="P11" s="9">
        <v>0</v>
      </c>
      <c r="Q11" s="50">
        <v>237</v>
      </c>
      <c r="R11" s="50"/>
      <c r="S11" s="9">
        <f>51+35</f>
        <v>86</v>
      </c>
      <c r="T11" s="9">
        <v>1</v>
      </c>
      <c r="U11" s="50">
        <v>0</v>
      </c>
      <c r="V11" s="50"/>
      <c r="W11" s="9">
        <f t="shared" si="1"/>
        <v>27334</v>
      </c>
      <c r="X11" s="10">
        <f t="shared" si="4"/>
        <v>88847</v>
      </c>
      <c r="Y11" s="11"/>
      <c r="Z11" s="12">
        <f t="shared" si="2"/>
        <v>486074</v>
      </c>
      <c r="AA11" s="13">
        <f t="shared" si="5"/>
        <v>982457</v>
      </c>
    </row>
    <row r="12" spans="2:27" ht="16.5" customHeight="1">
      <c r="B12" s="8" t="s">
        <v>4</v>
      </c>
      <c r="C12" s="9">
        <v>950519</v>
      </c>
      <c r="D12" s="28" t="s">
        <v>39</v>
      </c>
      <c r="E12" s="9">
        <f>96+3387</f>
        <v>3483</v>
      </c>
      <c r="F12" s="9">
        <f>1385+339</f>
        <v>1724</v>
      </c>
      <c r="G12" s="9">
        <f>39+855</f>
        <v>894</v>
      </c>
      <c r="H12" s="9">
        <f>90+2</f>
        <v>92</v>
      </c>
      <c r="I12" s="50">
        <v>33</v>
      </c>
      <c r="J12" s="50"/>
      <c r="K12" s="9">
        <f t="shared" si="0"/>
        <v>956745</v>
      </c>
      <c r="L12" s="10">
        <f t="shared" si="3"/>
        <v>1850355</v>
      </c>
      <c r="M12" s="11"/>
      <c r="N12" s="14">
        <v>36621</v>
      </c>
      <c r="O12" s="28" t="s">
        <v>39</v>
      </c>
      <c r="P12" s="9">
        <v>225</v>
      </c>
      <c r="Q12" s="50">
        <v>339</v>
      </c>
      <c r="R12" s="50"/>
      <c r="S12" s="9">
        <f>216+118</f>
        <v>334</v>
      </c>
      <c r="T12" s="9">
        <v>1</v>
      </c>
      <c r="U12" s="50">
        <v>0</v>
      </c>
      <c r="V12" s="50"/>
      <c r="W12" s="9">
        <f t="shared" si="1"/>
        <v>37520</v>
      </c>
      <c r="X12" s="10">
        <f t="shared" si="4"/>
        <v>126367</v>
      </c>
      <c r="Y12" s="11"/>
      <c r="Z12" s="12">
        <f t="shared" si="2"/>
        <v>994265</v>
      </c>
      <c r="AA12" s="13">
        <f t="shared" si="5"/>
        <v>1976722</v>
      </c>
    </row>
    <row r="13" spans="2:27" ht="16.5" customHeight="1">
      <c r="B13" s="8" t="s">
        <v>5</v>
      </c>
      <c r="C13" s="9">
        <v>1217557</v>
      </c>
      <c r="D13" s="28" t="s">
        <v>39</v>
      </c>
      <c r="E13" s="9">
        <f>252+5072</f>
        <v>5324</v>
      </c>
      <c r="F13" s="9">
        <f>1678+740</f>
        <v>2418</v>
      </c>
      <c r="G13" s="9">
        <f>52+1296</f>
        <v>1348</v>
      </c>
      <c r="H13" s="9">
        <v>119</v>
      </c>
      <c r="I13" s="50">
        <v>37</v>
      </c>
      <c r="J13" s="50"/>
      <c r="K13" s="9">
        <f t="shared" si="0"/>
        <v>1226803</v>
      </c>
      <c r="L13" s="10">
        <f t="shared" si="3"/>
        <v>3077158</v>
      </c>
      <c r="M13" s="11"/>
      <c r="N13" s="14">
        <v>56791</v>
      </c>
      <c r="O13" s="28" t="s">
        <v>39</v>
      </c>
      <c r="P13" s="9">
        <v>640</v>
      </c>
      <c r="Q13" s="50">
        <v>261</v>
      </c>
      <c r="R13" s="50"/>
      <c r="S13" s="9">
        <f>106+51</f>
        <v>157</v>
      </c>
      <c r="T13" s="9">
        <v>6</v>
      </c>
      <c r="U13" s="50">
        <v>2</v>
      </c>
      <c r="V13" s="50"/>
      <c r="W13" s="9">
        <f t="shared" si="1"/>
        <v>57857</v>
      </c>
      <c r="X13" s="10">
        <f t="shared" si="4"/>
        <v>184224</v>
      </c>
      <c r="Y13" s="11"/>
      <c r="Z13" s="12">
        <f t="shared" si="2"/>
        <v>1284660</v>
      </c>
      <c r="AA13" s="13">
        <f t="shared" si="5"/>
        <v>3261382</v>
      </c>
    </row>
    <row r="14" spans="2:27" ht="16.5" customHeight="1">
      <c r="B14" s="8" t="s">
        <v>6</v>
      </c>
      <c r="C14" s="9">
        <v>1420913</v>
      </c>
      <c r="D14" s="28" t="s">
        <v>39</v>
      </c>
      <c r="E14" s="9">
        <f>510+6375</f>
        <v>6885</v>
      </c>
      <c r="F14" s="9">
        <f>2042+1290</f>
        <v>3332</v>
      </c>
      <c r="G14" s="9">
        <f>40+4827</f>
        <v>4867</v>
      </c>
      <c r="H14" s="9">
        <v>179</v>
      </c>
      <c r="I14" s="50">
        <v>37</v>
      </c>
      <c r="J14" s="50"/>
      <c r="K14" s="9">
        <f t="shared" si="0"/>
        <v>1436213</v>
      </c>
      <c r="L14" s="10">
        <f t="shared" si="3"/>
        <v>4513371</v>
      </c>
      <c r="M14" s="11"/>
      <c r="N14" s="14">
        <v>84700</v>
      </c>
      <c r="O14" s="37" t="s">
        <v>39</v>
      </c>
      <c r="P14" s="9">
        <v>697</v>
      </c>
      <c r="Q14" s="50">
        <v>354</v>
      </c>
      <c r="R14" s="50"/>
      <c r="S14" s="9">
        <f>91+74</f>
        <v>165</v>
      </c>
      <c r="T14" s="9">
        <v>5</v>
      </c>
      <c r="U14" s="50">
        <v>3</v>
      </c>
      <c r="V14" s="50"/>
      <c r="W14" s="9">
        <f t="shared" si="1"/>
        <v>85924</v>
      </c>
      <c r="X14" s="10">
        <f t="shared" si="4"/>
        <v>270148</v>
      </c>
      <c r="Y14" s="11"/>
      <c r="Z14" s="12">
        <f t="shared" si="2"/>
        <v>1522137</v>
      </c>
      <c r="AA14" s="13">
        <f t="shared" si="5"/>
        <v>4783519</v>
      </c>
    </row>
    <row r="15" spans="2:27" ht="16.5" customHeight="1">
      <c r="B15" s="8" t="s">
        <v>8</v>
      </c>
      <c r="C15" s="9">
        <v>1398630</v>
      </c>
      <c r="D15" s="28" t="s">
        <v>39</v>
      </c>
      <c r="E15" s="9">
        <f>391+13784</f>
        <v>14175</v>
      </c>
      <c r="F15" s="9">
        <f>2547+1284</f>
        <v>3831</v>
      </c>
      <c r="G15" s="9">
        <f>35+1429</f>
        <v>1464</v>
      </c>
      <c r="H15" s="9">
        <v>125</v>
      </c>
      <c r="I15" s="50">
        <v>23</v>
      </c>
      <c r="J15" s="50"/>
      <c r="K15" s="9">
        <f t="shared" si="0"/>
        <v>1418248</v>
      </c>
      <c r="L15" s="10">
        <f t="shared" si="3"/>
        <v>5931619</v>
      </c>
      <c r="M15" s="11"/>
      <c r="N15" s="14">
        <v>52419</v>
      </c>
      <c r="O15" s="37" t="s">
        <v>39</v>
      </c>
      <c r="P15" s="9">
        <v>436</v>
      </c>
      <c r="Q15" s="50">
        <v>484</v>
      </c>
      <c r="R15" s="50"/>
      <c r="S15" s="9">
        <f>119+42</f>
        <v>161</v>
      </c>
      <c r="T15" s="9">
        <v>5</v>
      </c>
      <c r="U15" s="50">
        <v>7</v>
      </c>
      <c r="V15" s="50"/>
      <c r="W15" s="9">
        <f t="shared" si="1"/>
        <v>53512</v>
      </c>
      <c r="X15" s="10">
        <f t="shared" si="4"/>
        <v>323660</v>
      </c>
      <c r="Y15" s="11"/>
      <c r="Z15" s="12">
        <f t="shared" si="2"/>
        <v>1471760</v>
      </c>
      <c r="AA15" s="13">
        <f t="shared" si="5"/>
        <v>6255279</v>
      </c>
    </row>
    <row r="16" spans="2:27" ht="16.5" customHeight="1">
      <c r="B16" s="8" t="s">
        <v>9</v>
      </c>
      <c r="C16" s="9">
        <v>1201528</v>
      </c>
      <c r="D16" s="28" t="s">
        <v>39</v>
      </c>
      <c r="E16" s="9">
        <f>173+5759</f>
        <v>5932</v>
      </c>
      <c r="F16" s="9">
        <f>2207+1339</f>
        <v>3546</v>
      </c>
      <c r="G16" s="9">
        <f>76+1124</f>
        <v>1200</v>
      </c>
      <c r="H16" s="9">
        <v>89</v>
      </c>
      <c r="I16" s="50">
        <v>23</v>
      </c>
      <c r="J16" s="50"/>
      <c r="K16" s="9">
        <f>SUM(C16:J16)</f>
        <v>1212318</v>
      </c>
      <c r="L16" s="10">
        <f t="shared" si="3"/>
        <v>7143937</v>
      </c>
      <c r="M16" s="11"/>
      <c r="N16" s="14">
        <v>37878</v>
      </c>
      <c r="O16" s="37" t="s">
        <v>39</v>
      </c>
      <c r="P16" s="9">
        <v>357</v>
      </c>
      <c r="Q16" s="50">
        <v>410</v>
      </c>
      <c r="R16" s="50"/>
      <c r="S16" s="9">
        <f>123+26</f>
        <v>149</v>
      </c>
      <c r="T16" s="9">
        <v>0</v>
      </c>
      <c r="U16" s="50">
        <v>1</v>
      </c>
      <c r="V16" s="50"/>
      <c r="W16" s="9">
        <f t="shared" si="1"/>
        <v>38795</v>
      </c>
      <c r="X16" s="10">
        <f t="shared" si="4"/>
        <v>362455</v>
      </c>
      <c r="Y16" s="11"/>
      <c r="Z16" s="12">
        <f t="shared" si="2"/>
        <v>1251113</v>
      </c>
      <c r="AA16" s="13">
        <f t="shared" si="5"/>
        <v>7506392</v>
      </c>
    </row>
    <row r="17" spans="2:27" ht="16.5" customHeight="1">
      <c r="B17" s="8" t="s">
        <v>10</v>
      </c>
      <c r="C17" s="9">
        <v>798918</v>
      </c>
      <c r="D17" s="28" t="s">
        <v>39</v>
      </c>
      <c r="E17" s="9">
        <f>52+9965</f>
        <v>10017</v>
      </c>
      <c r="F17" s="9">
        <f>1772+727</f>
        <v>2499</v>
      </c>
      <c r="G17" s="9">
        <f>164+11617</f>
        <v>11781</v>
      </c>
      <c r="H17" s="9">
        <v>69</v>
      </c>
      <c r="I17" s="50">
        <v>22</v>
      </c>
      <c r="J17" s="50"/>
      <c r="K17" s="9">
        <f>SUM(C17:J17)</f>
        <v>823306</v>
      </c>
      <c r="L17" s="10">
        <f t="shared" si="3"/>
        <v>7967243</v>
      </c>
      <c r="M17" s="11"/>
      <c r="N17" s="14">
        <v>32334</v>
      </c>
      <c r="O17" s="37" t="s">
        <v>39</v>
      </c>
      <c r="P17" s="9">
        <v>109</v>
      </c>
      <c r="Q17" s="50">
        <v>296</v>
      </c>
      <c r="R17" s="50"/>
      <c r="S17" s="9">
        <f>88+564</f>
        <v>652</v>
      </c>
      <c r="T17" s="9">
        <v>3</v>
      </c>
      <c r="U17" s="50">
        <v>0</v>
      </c>
      <c r="V17" s="50"/>
      <c r="W17" s="9">
        <f t="shared" si="1"/>
        <v>33394</v>
      </c>
      <c r="X17" s="10">
        <f t="shared" si="4"/>
        <v>395849</v>
      </c>
      <c r="Y17" s="11"/>
      <c r="Z17" s="12">
        <f t="shared" si="2"/>
        <v>856700</v>
      </c>
      <c r="AA17" s="13">
        <f t="shared" si="5"/>
        <v>8363092</v>
      </c>
    </row>
    <row r="18" spans="2:27" ht="16.5" customHeight="1">
      <c r="B18" s="8" t="s">
        <v>11</v>
      </c>
      <c r="C18" s="9">
        <v>244775</v>
      </c>
      <c r="D18" s="28" t="s">
        <v>39</v>
      </c>
      <c r="E18" s="9">
        <v>2430</v>
      </c>
      <c r="F18" s="9">
        <f>745+205</f>
        <v>950</v>
      </c>
      <c r="G18" s="9">
        <f>64+4449</f>
        <v>4513</v>
      </c>
      <c r="H18" s="9">
        <v>16</v>
      </c>
      <c r="I18" s="50">
        <v>7</v>
      </c>
      <c r="J18" s="50"/>
      <c r="K18" s="9">
        <f>SUM(C18:J18)</f>
        <v>252691</v>
      </c>
      <c r="L18" s="10">
        <f t="shared" si="3"/>
        <v>8219934</v>
      </c>
      <c r="M18" s="11"/>
      <c r="N18" s="14">
        <v>24688</v>
      </c>
      <c r="O18" s="37" t="s">
        <v>39</v>
      </c>
      <c r="P18" s="9">
        <v>0</v>
      </c>
      <c r="Q18" s="50">
        <v>183</v>
      </c>
      <c r="R18" s="50"/>
      <c r="S18" s="9">
        <f>179+136</f>
        <v>315</v>
      </c>
      <c r="T18" s="9">
        <v>0</v>
      </c>
      <c r="U18" s="50">
        <v>2</v>
      </c>
      <c r="V18" s="50"/>
      <c r="W18" s="9">
        <f t="shared" si="1"/>
        <v>25188</v>
      </c>
      <c r="X18" s="10">
        <f t="shared" si="4"/>
        <v>421037</v>
      </c>
      <c r="Y18" s="11"/>
      <c r="Z18" s="12">
        <f t="shared" si="2"/>
        <v>277879</v>
      </c>
      <c r="AA18" s="13">
        <f t="shared" si="5"/>
        <v>8640971</v>
      </c>
    </row>
    <row r="19" spans="2:27" ht="16.5" customHeight="1" thickBot="1">
      <c r="B19" s="8" t="s">
        <v>12</v>
      </c>
      <c r="C19" s="9">
        <v>128775</v>
      </c>
      <c r="D19" s="28" t="s">
        <v>39</v>
      </c>
      <c r="E19" s="9">
        <v>0</v>
      </c>
      <c r="F19" s="9">
        <f>713+226</f>
        <v>939</v>
      </c>
      <c r="G19" s="9">
        <f>9+1155</f>
        <v>1164</v>
      </c>
      <c r="H19" s="9">
        <v>55</v>
      </c>
      <c r="I19" s="50">
        <v>2</v>
      </c>
      <c r="J19" s="50"/>
      <c r="K19" s="9">
        <f>SUM(C19:J19)</f>
        <v>130935</v>
      </c>
      <c r="L19" s="10">
        <f t="shared" si="3"/>
        <v>8350869</v>
      </c>
      <c r="M19" s="11"/>
      <c r="N19" s="14">
        <v>24325</v>
      </c>
      <c r="O19" s="37" t="s">
        <v>39</v>
      </c>
      <c r="P19" s="9">
        <v>0</v>
      </c>
      <c r="Q19" s="50">
        <v>0</v>
      </c>
      <c r="R19" s="50"/>
      <c r="S19" s="9">
        <f>184+53</f>
        <v>237</v>
      </c>
      <c r="T19" s="9">
        <v>101</v>
      </c>
      <c r="U19" s="50">
        <v>16</v>
      </c>
      <c r="V19" s="50"/>
      <c r="W19" s="9">
        <f t="shared" si="1"/>
        <v>24679</v>
      </c>
      <c r="X19" s="10">
        <f t="shared" si="4"/>
        <v>445716</v>
      </c>
      <c r="Y19" s="11"/>
      <c r="Z19" s="15">
        <f t="shared" si="2"/>
        <v>155614</v>
      </c>
      <c r="AA19" s="16">
        <f t="shared" si="5"/>
        <v>8796585</v>
      </c>
    </row>
    <row r="20" spans="2:27" s="19" customFormat="1" ht="18.75" customHeight="1">
      <c r="B20" s="58" t="s">
        <v>13</v>
      </c>
      <c r="C20" s="17">
        <f>SUM(C8:C19)</f>
        <v>8241964</v>
      </c>
      <c r="D20" s="35" t="s">
        <v>39</v>
      </c>
      <c r="E20" s="17">
        <f>SUM(E8:E19)</f>
        <v>52440</v>
      </c>
      <c r="F20" s="17">
        <f>SUM(F8:F19)</f>
        <v>22221</v>
      </c>
      <c r="G20" s="17">
        <f>SUM(G8:G19)</f>
        <v>33221</v>
      </c>
      <c r="H20" s="17">
        <f>SUM(H8:H19)</f>
        <v>833</v>
      </c>
      <c r="I20" s="110">
        <f>SUM(I8:J19)</f>
        <v>190</v>
      </c>
      <c r="J20" s="111"/>
      <c r="K20" s="72">
        <f>E21+C21</f>
        <v>8350869</v>
      </c>
      <c r="L20" s="73"/>
      <c r="M20" s="11"/>
      <c r="N20" s="18">
        <f>SUM(N8:N19)</f>
        <v>437553</v>
      </c>
      <c r="O20" s="35" t="s">
        <v>39</v>
      </c>
      <c r="P20" s="17">
        <f>SUM(P8:P19)</f>
        <v>2464</v>
      </c>
      <c r="Q20" s="66">
        <f>SUM(Q8:R19)</f>
        <v>2963</v>
      </c>
      <c r="R20" s="66"/>
      <c r="S20" s="17">
        <f>SUM(S8:S19)</f>
        <v>2583</v>
      </c>
      <c r="T20" s="17">
        <f>SUM(T8:T19)</f>
        <v>122</v>
      </c>
      <c r="U20" s="66">
        <f>SUM(U8:U19)</f>
        <v>31</v>
      </c>
      <c r="V20" s="66"/>
      <c r="W20" s="98">
        <f>P21+N21</f>
        <v>445716</v>
      </c>
      <c r="X20" s="99"/>
      <c r="Y20" s="11"/>
      <c r="Z20" s="137">
        <f t="shared" si="2"/>
        <v>8796585</v>
      </c>
      <c r="AA20" s="138"/>
    </row>
    <row r="21" spans="2:27" ht="18.75" customHeight="1" thickBot="1">
      <c r="B21" s="141"/>
      <c r="C21" s="64">
        <f>C20</f>
        <v>8241964</v>
      </c>
      <c r="D21" s="65"/>
      <c r="E21" s="69">
        <f>SUM(E20:J20)</f>
        <v>108905</v>
      </c>
      <c r="F21" s="69"/>
      <c r="G21" s="69"/>
      <c r="H21" s="69"/>
      <c r="I21" s="69"/>
      <c r="J21" s="69"/>
      <c r="K21" s="74"/>
      <c r="L21" s="75"/>
      <c r="M21" s="5"/>
      <c r="N21" s="122">
        <f>N20</f>
        <v>437553</v>
      </c>
      <c r="O21" s="65"/>
      <c r="P21" s="69">
        <f>SUM(P20:V20)</f>
        <v>8163</v>
      </c>
      <c r="Q21" s="69"/>
      <c r="R21" s="69"/>
      <c r="S21" s="69"/>
      <c r="T21" s="69"/>
      <c r="U21" s="69"/>
      <c r="V21" s="69"/>
      <c r="W21" s="100"/>
      <c r="X21" s="101"/>
      <c r="Y21" s="5"/>
      <c r="Z21" s="139"/>
      <c r="AA21" s="140"/>
    </row>
    <row r="22" spans="2:24" ht="15" customHeight="1" thickBot="1">
      <c r="B22" s="20"/>
      <c r="C22" s="21"/>
      <c r="D22" s="21"/>
      <c r="E22" s="21"/>
      <c r="F22" s="21"/>
      <c r="G22" s="21"/>
      <c r="H22" s="21"/>
      <c r="I22" s="21"/>
      <c r="J22" s="21"/>
      <c r="K22" s="22"/>
      <c r="L22" s="22"/>
      <c r="N22" s="21" t="s">
        <v>27</v>
      </c>
      <c r="O22" s="21"/>
      <c r="P22" s="21"/>
      <c r="Q22" s="21"/>
      <c r="R22" s="21"/>
      <c r="S22" s="21"/>
      <c r="T22" s="21"/>
      <c r="U22" s="21"/>
      <c r="V22" s="21"/>
      <c r="W22" s="22"/>
      <c r="X22" s="22"/>
    </row>
    <row r="23" spans="2:27" ht="30" customHeight="1" thickBot="1">
      <c r="B23" s="80" t="s">
        <v>46</v>
      </c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82"/>
    </row>
    <row r="24" spans="2:27" ht="24.75" customHeight="1">
      <c r="B24" s="57" t="s">
        <v>0</v>
      </c>
      <c r="C24" s="67" t="s">
        <v>23</v>
      </c>
      <c r="D24" s="67"/>
      <c r="E24" s="67"/>
      <c r="F24" s="67"/>
      <c r="G24" s="67"/>
      <c r="H24" s="67"/>
      <c r="I24" s="67"/>
      <c r="J24" s="67"/>
      <c r="K24" s="67"/>
      <c r="L24" s="68"/>
      <c r="M24" s="23"/>
      <c r="N24" s="106" t="s">
        <v>24</v>
      </c>
      <c r="O24" s="107"/>
      <c r="P24" s="67"/>
      <c r="Q24" s="67"/>
      <c r="R24" s="67"/>
      <c r="S24" s="67"/>
      <c r="T24" s="67"/>
      <c r="U24" s="67"/>
      <c r="V24" s="67"/>
      <c r="W24" s="67"/>
      <c r="X24" s="68"/>
      <c r="Y24" s="3"/>
      <c r="Z24" s="53" t="s">
        <v>29</v>
      </c>
      <c r="AA24" s="54"/>
    </row>
    <row r="25" spans="2:27" ht="21.75" customHeight="1">
      <c r="B25" s="58"/>
      <c r="C25" s="59" t="s">
        <v>30</v>
      </c>
      <c r="D25" s="59"/>
      <c r="E25" s="52" t="s">
        <v>33</v>
      </c>
      <c r="F25" s="52"/>
      <c r="G25" s="52"/>
      <c r="H25" s="52"/>
      <c r="I25" s="52"/>
      <c r="J25" s="52"/>
      <c r="K25" s="62" t="s">
        <v>13</v>
      </c>
      <c r="L25" s="63"/>
      <c r="M25" s="5"/>
      <c r="N25" s="108" t="s">
        <v>30</v>
      </c>
      <c r="O25" s="109"/>
      <c r="P25" s="52" t="s">
        <v>33</v>
      </c>
      <c r="Q25" s="52"/>
      <c r="R25" s="52"/>
      <c r="S25" s="52"/>
      <c r="T25" s="52"/>
      <c r="U25" s="52"/>
      <c r="V25" s="52"/>
      <c r="W25" s="62" t="s">
        <v>13</v>
      </c>
      <c r="X25" s="63"/>
      <c r="Y25" s="5"/>
      <c r="Z25" s="55"/>
      <c r="AA25" s="56"/>
    </row>
    <row r="26" spans="1:27" s="44" customFormat="1" ht="19.5" customHeight="1">
      <c r="A26" s="1"/>
      <c r="B26" s="58"/>
      <c r="C26" s="39" t="s">
        <v>31</v>
      </c>
      <c r="D26" s="4" t="s">
        <v>32</v>
      </c>
      <c r="E26" s="36" t="s">
        <v>34</v>
      </c>
      <c r="F26" s="36" t="s">
        <v>35</v>
      </c>
      <c r="G26" s="36" t="s">
        <v>36</v>
      </c>
      <c r="H26" s="36" t="s">
        <v>37</v>
      </c>
      <c r="I26" s="60" t="s">
        <v>38</v>
      </c>
      <c r="J26" s="61"/>
      <c r="K26" s="4" t="s">
        <v>14</v>
      </c>
      <c r="L26" s="7" t="s">
        <v>16</v>
      </c>
      <c r="M26" s="43"/>
      <c r="N26" s="6" t="s">
        <v>31</v>
      </c>
      <c r="O26" s="4" t="s">
        <v>32</v>
      </c>
      <c r="P26" s="36" t="s">
        <v>34</v>
      </c>
      <c r="Q26" s="51" t="s">
        <v>42</v>
      </c>
      <c r="R26" s="51"/>
      <c r="S26" s="36" t="s">
        <v>36</v>
      </c>
      <c r="T26" s="36" t="s">
        <v>37</v>
      </c>
      <c r="U26" s="51" t="s">
        <v>38</v>
      </c>
      <c r="V26" s="51"/>
      <c r="W26" s="4" t="s">
        <v>14</v>
      </c>
      <c r="X26" s="7" t="s">
        <v>16</v>
      </c>
      <c r="Y26" s="43"/>
      <c r="Z26" s="6" t="s">
        <v>14</v>
      </c>
      <c r="AA26" s="7" t="s">
        <v>16</v>
      </c>
    </row>
    <row r="27" spans="2:27" ht="16.5" customHeight="1">
      <c r="B27" s="8" t="s">
        <v>1</v>
      </c>
      <c r="C27" s="9">
        <v>119956</v>
      </c>
      <c r="D27" s="28">
        <v>0</v>
      </c>
      <c r="E27" s="9">
        <v>0</v>
      </c>
      <c r="F27" s="9">
        <v>493</v>
      </c>
      <c r="G27" s="9">
        <v>1091</v>
      </c>
      <c r="H27" s="9">
        <v>4</v>
      </c>
      <c r="I27" s="50">
        <v>0</v>
      </c>
      <c r="J27" s="50"/>
      <c r="K27" s="9">
        <f>SUM(C27:J27)</f>
        <v>121544</v>
      </c>
      <c r="L27" s="10">
        <f>K27</f>
        <v>121544</v>
      </c>
      <c r="M27" s="11"/>
      <c r="N27" s="14">
        <v>20063</v>
      </c>
      <c r="O27" s="28">
        <v>0</v>
      </c>
      <c r="P27" s="9">
        <v>0</v>
      </c>
      <c r="Q27" s="50">
        <v>128</v>
      </c>
      <c r="R27" s="50"/>
      <c r="S27" s="9">
        <v>145</v>
      </c>
      <c r="T27" s="9">
        <v>0</v>
      </c>
      <c r="U27" s="50">
        <v>0</v>
      </c>
      <c r="V27" s="50"/>
      <c r="W27" s="9">
        <f>SUM(N27:U27)</f>
        <v>20336</v>
      </c>
      <c r="X27" s="10">
        <f>W27</f>
        <v>20336</v>
      </c>
      <c r="Y27" s="24"/>
      <c r="Z27" s="25">
        <f>W27+K27</f>
        <v>141880</v>
      </c>
      <c r="AA27" s="26">
        <f>Z27</f>
        <v>141880</v>
      </c>
    </row>
    <row r="28" spans="2:27" ht="16.5" customHeight="1">
      <c r="B28" s="8" t="s">
        <v>7</v>
      </c>
      <c r="C28" s="9">
        <v>154750</v>
      </c>
      <c r="D28" s="28">
        <v>0</v>
      </c>
      <c r="E28" s="9">
        <v>0</v>
      </c>
      <c r="F28" s="9">
        <v>562</v>
      </c>
      <c r="G28" s="9">
        <v>1039</v>
      </c>
      <c r="H28" s="9">
        <v>4</v>
      </c>
      <c r="I28" s="50">
        <v>0</v>
      </c>
      <c r="J28" s="50"/>
      <c r="K28" s="9">
        <f aca="true" t="shared" si="6" ref="K28:K38">SUM(C28:J28)</f>
        <v>156355</v>
      </c>
      <c r="L28" s="10">
        <f aca="true" t="shared" si="7" ref="L28:L38">L27+K28</f>
        <v>277899</v>
      </c>
      <c r="M28" s="11"/>
      <c r="N28" s="14">
        <v>17226</v>
      </c>
      <c r="O28" s="28">
        <v>0</v>
      </c>
      <c r="P28" s="9">
        <v>0</v>
      </c>
      <c r="Q28" s="50">
        <v>146</v>
      </c>
      <c r="R28" s="50"/>
      <c r="S28" s="9">
        <v>193</v>
      </c>
      <c r="T28" s="9">
        <v>0</v>
      </c>
      <c r="U28" s="50">
        <v>0</v>
      </c>
      <c r="V28" s="50"/>
      <c r="W28" s="9">
        <f aca="true" t="shared" si="8" ref="W28:W38">IF(N28="","",SUM(N28:V28))</f>
        <v>17565</v>
      </c>
      <c r="X28" s="10">
        <f aca="true" t="shared" si="9" ref="X28:X38">IF(W28="","",((X27+W28)))</f>
        <v>37901</v>
      </c>
      <c r="Y28" s="24"/>
      <c r="Z28" s="25">
        <f aca="true" t="shared" si="10" ref="Z28:Z38">IF(W28="","",((W28+K28)))</f>
        <v>173920</v>
      </c>
      <c r="AA28" s="26">
        <f aca="true" t="shared" si="11" ref="AA28:AA38">IF(Z28="","",((AA27+Z28)))</f>
        <v>315800</v>
      </c>
    </row>
    <row r="29" spans="2:27" ht="16.5" customHeight="1">
      <c r="B29" s="8" t="s">
        <v>2</v>
      </c>
      <c r="C29" s="9">
        <v>307928</v>
      </c>
      <c r="D29" s="28">
        <v>0</v>
      </c>
      <c r="E29" s="9">
        <v>6873</v>
      </c>
      <c r="F29" s="9">
        <v>902</v>
      </c>
      <c r="G29" s="9">
        <v>1512</v>
      </c>
      <c r="H29" s="9">
        <v>18</v>
      </c>
      <c r="I29" s="50">
        <v>6</v>
      </c>
      <c r="J29" s="50"/>
      <c r="K29" s="9">
        <f t="shared" si="6"/>
        <v>317239</v>
      </c>
      <c r="L29" s="10">
        <f t="shared" si="7"/>
        <v>595138</v>
      </c>
      <c r="M29" s="11"/>
      <c r="N29" s="14">
        <v>27070</v>
      </c>
      <c r="O29" s="28">
        <v>0</v>
      </c>
      <c r="P29" s="9">
        <v>0</v>
      </c>
      <c r="Q29" s="50">
        <v>167</v>
      </c>
      <c r="R29" s="50"/>
      <c r="S29" s="9">
        <v>103</v>
      </c>
      <c r="T29" s="9">
        <v>0</v>
      </c>
      <c r="U29" s="50">
        <v>2</v>
      </c>
      <c r="V29" s="50"/>
      <c r="W29" s="9">
        <f t="shared" si="8"/>
        <v>27342</v>
      </c>
      <c r="X29" s="10">
        <f t="shared" si="9"/>
        <v>65243</v>
      </c>
      <c r="Y29" s="11"/>
      <c r="Z29" s="25">
        <f t="shared" si="10"/>
        <v>344581</v>
      </c>
      <c r="AA29" s="26">
        <f t="shared" si="11"/>
        <v>660381</v>
      </c>
    </row>
    <row r="30" spans="2:27" ht="16.5" customHeight="1">
      <c r="B30" s="8" t="s">
        <v>3</v>
      </c>
      <c r="C30" s="9">
        <v>442732</v>
      </c>
      <c r="D30" s="28">
        <v>0</v>
      </c>
      <c r="E30" s="9">
        <v>9224</v>
      </c>
      <c r="F30" s="9">
        <v>1336</v>
      </c>
      <c r="G30" s="9">
        <v>7636</v>
      </c>
      <c r="H30" s="9">
        <v>62</v>
      </c>
      <c r="I30" s="50">
        <v>10</v>
      </c>
      <c r="J30" s="50"/>
      <c r="K30" s="9">
        <f t="shared" si="6"/>
        <v>461000</v>
      </c>
      <c r="L30" s="10">
        <f t="shared" si="7"/>
        <v>1056138</v>
      </c>
      <c r="M30" s="11"/>
      <c r="N30" s="14">
        <v>27001</v>
      </c>
      <c r="O30" s="28">
        <v>0</v>
      </c>
      <c r="P30" s="9">
        <v>0</v>
      </c>
      <c r="Q30" s="50">
        <v>223</v>
      </c>
      <c r="R30" s="50"/>
      <c r="S30" s="9">
        <v>177</v>
      </c>
      <c r="T30" s="9">
        <v>0</v>
      </c>
      <c r="U30" s="50">
        <v>0</v>
      </c>
      <c r="V30" s="50"/>
      <c r="W30" s="9">
        <f t="shared" si="8"/>
        <v>27401</v>
      </c>
      <c r="X30" s="10">
        <f t="shared" si="9"/>
        <v>92644</v>
      </c>
      <c r="Y30" s="11"/>
      <c r="Z30" s="25">
        <f t="shared" si="10"/>
        <v>488401</v>
      </c>
      <c r="AA30" s="26">
        <f t="shared" si="11"/>
        <v>1148782</v>
      </c>
    </row>
    <row r="31" spans="2:27" ht="16.5" customHeight="1">
      <c r="B31" s="8" t="s">
        <v>4</v>
      </c>
      <c r="C31" s="9">
        <v>1199805</v>
      </c>
      <c r="D31" s="28">
        <v>0</v>
      </c>
      <c r="E31" s="9">
        <v>4470</v>
      </c>
      <c r="F31" s="9">
        <v>2113</v>
      </c>
      <c r="G31" s="9">
        <v>17965</v>
      </c>
      <c r="H31" s="9">
        <v>62</v>
      </c>
      <c r="I31" s="50">
        <v>43</v>
      </c>
      <c r="J31" s="50"/>
      <c r="K31" s="9">
        <f t="shared" si="6"/>
        <v>1224458</v>
      </c>
      <c r="L31" s="10">
        <f t="shared" si="7"/>
        <v>2280596</v>
      </c>
      <c r="M31" s="11"/>
      <c r="N31" s="14">
        <v>37007</v>
      </c>
      <c r="O31" s="28">
        <v>0</v>
      </c>
      <c r="P31" s="9">
        <v>116</v>
      </c>
      <c r="Q31" s="50">
        <v>304</v>
      </c>
      <c r="R31" s="50"/>
      <c r="S31" s="9">
        <v>224</v>
      </c>
      <c r="T31" s="9">
        <v>4</v>
      </c>
      <c r="U31" s="50">
        <v>0</v>
      </c>
      <c r="V31" s="50"/>
      <c r="W31" s="9">
        <f t="shared" si="8"/>
        <v>37655</v>
      </c>
      <c r="X31" s="10">
        <f t="shared" si="9"/>
        <v>130299</v>
      </c>
      <c r="Y31" s="11"/>
      <c r="Z31" s="25">
        <f t="shared" si="10"/>
        <v>1262113</v>
      </c>
      <c r="AA31" s="26">
        <f t="shared" si="11"/>
        <v>2410895</v>
      </c>
    </row>
    <row r="32" spans="2:27" ht="16.5" customHeight="1">
      <c r="B32" s="8" t="s">
        <v>5</v>
      </c>
      <c r="C32" s="9">
        <v>1359075</v>
      </c>
      <c r="D32" s="28">
        <v>8</v>
      </c>
      <c r="E32" s="9">
        <v>258</v>
      </c>
      <c r="F32" s="9">
        <v>2561</v>
      </c>
      <c r="G32" s="9">
        <v>13329</v>
      </c>
      <c r="H32" s="9">
        <v>121</v>
      </c>
      <c r="I32" s="50">
        <v>36</v>
      </c>
      <c r="J32" s="50"/>
      <c r="K32" s="9">
        <f t="shared" si="6"/>
        <v>1375388</v>
      </c>
      <c r="L32" s="10">
        <f t="shared" si="7"/>
        <v>3655984</v>
      </c>
      <c r="M32" s="11"/>
      <c r="N32" s="14">
        <v>51961</v>
      </c>
      <c r="O32" s="28">
        <v>1</v>
      </c>
      <c r="P32" s="9">
        <v>707</v>
      </c>
      <c r="Q32" s="50">
        <v>397</v>
      </c>
      <c r="R32" s="50"/>
      <c r="S32" s="9">
        <v>221</v>
      </c>
      <c r="T32" s="9">
        <v>0</v>
      </c>
      <c r="U32" s="50">
        <v>5</v>
      </c>
      <c r="V32" s="50"/>
      <c r="W32" s="9">
        <f t="shared" si="8"/>
        <v>53292</v>
      </c>
      <c r="X32" s="10">
        <f t="shared" si="9"/>
        <v>183591</v>
      </c>
      <c r="Y32" s="11"/>
      <c r="Z32" s="25">
        <f t="shared" si="10"/>
        <v>1428680</v>
      </c>
      <c r="AA32" s="26">
        <f t="shared" si="11"/>
        <v>3839575</v>
      </c>
    </row>
    <row r="33" spans="2:27" ht="16.5" customHeight="1">
      <c r="B33" s="8" t="s">
        <v>6</v>
      </c>
      <c r="C33" s="9">
        <v>1505561</v>
      </c>
      <c r="D33" s="28">
        <v>7</v>
      </c>
      <c r="E33" s="9">
        <v>618</v>
      </c>
      <c r="F33" s="9">
        <v>3066</v>
      </c>
      <c r="G33" s="9">
        <v>15950</v>
      </c>
      <c r="H33" s="9">
        <v>89</v>
      </c>
      <c r="I33" s="50">
        <v>378</v>
      </c>
      <c r="J33" s="50"/>
      <c r="K33" s="9">
        <f t="shared" si="6"/>
        <v>1525669</v>
      </c>
      <c r="L33" s="10">
        <f t="shared" si="7"/>
        <v>5181653</v>
      </c>
      <c r="M33" s="11"/>
      <c r="N33" s="14">
        <v>80202</v>
      </c>
      <c r="O33" s="37">
        <v>0</v>
      </c>
      <c r="P33" s="9">
        <v>669</v>
      </c>
      <c r="Q33" s="50">
        <v>469</v>
      </c>
      <c r="R33" s="50"/>
      <c r="S33" s="9">
        <v>220</v>
      </c>
      <c r="T33" s="9">
        <v>2</v>
      </c>
      <c r="U33" s="50">
        <v>5</v>
      </c>
      <c r="V33" s="50"/>
      <c r="W33" s="9">
        <f t="shared" si="8"/>
        <v>81567</v>
      </c>
      <c r="X33" s="10">
        <f t="shared" si="9"/>
        <v>265158</v>
      </c>
      <c r="Y33" s="11"/>
      <c r="Z33" s="25">
        <f t="shared" si="10"/>
        <v>1607236</v>
      </c>
      <c r="AA33" s="26">
        <f t="shared" si="11"/>
        <v>5446811</v>
      </c>
    </row>
    <row r="34" spans="2:27" ht="16.5" customHeight="1">
      <c r="B34" s="8" t="s">
        <v>8</v>
      </c>
      <c r="C34" s="9">
        <v>1473066</v>
      </c>
      <c r="D34" s="28">
        <v>0</v>
      </c>
      <c r="E34" s="9">
        <v>557</v>
      </c>
      <c r="F34" s="9">
        <v>4005</v>
      </c>
      <c r="G34" s="9">
        <v>15513</v>
      </c>
      <c r="H34" s="9">
        <v>123</v>
      </c>
      <c r="I34" s="50">
        <v>764</v>
      </c>
      <c r="J34" s="50"/>
      <c r="K34" s="9">
        <f t="shared" si="6"/>
        <v>1494028</v>
      </c>
      <c r="L34" s="10">
        <f t="shared" si="7"/>
        <v>6675681</v>
      </c>
      <c r="M34" s="11"/>
      <c r="N34" s="14">
        <v>42106</v>
      </c>
      <c r="O34" s="37">
        <v>0</v>
      </c>
      <c r="P34" s="9">
        <v>531</v>
      </c>
      <c r="Q34" s="50">
        <v>864</v>
      </c>
      <c r="R34" s="50"/>
      <c r="S34" s="9">
        <v>231</v>
      </c>
      <c r="T34" s="9">
        <v>1</v>
      </c>
      <c r="U34" s="50">
        <v>7</v>
      </c>
      <c r="V34" s="50"/>
      <c r="W34" s="9">
        <f t="shared" si="8"/>
        <v>43740</v>
      </c>
      <c r="X34" s="10">
        <f t="shared" si="9"/>
        <v>308898</v>
      </c>
      <c r="Y34" s="11"/>
      <c r="Z34" s="25">
        <f t="shared" si="10"/>
        <v>1537768</v>
      </c>
      <c r="AA34" s="26">
        <f t="shared" si="11"/>
        <v>6984579</v>
      </c>
    </row>
    <row r="35" spans="2:27" ht="16.5" customHeight="1">
      <c r="B35" s="8" t="s">
        <v>9</v>
      </c>
      <c r="C35" s="9">
        <v>1286303</v>
      </c>
      <c r="D35" s="28">
        <v>0</v>
      </c>
      <c r="E35" s="9">
        <v>674</v>
      </c>
      <c r="F35" s="9">
        <v>2963</v>
      </c>
      <c r="G35" s="9">
        <v>18699</v>
      </c>
      <c r="H35" s="9">
        <v>83</v>
      </c>
      <c r="I35" s="50">
        <v>22</v>
      </c>
      <c r="J35" s="50"/>
      <c r="K35" s="9">
        <f t="shared" si="6"/>
        <v>1308744</v>
      </c>
      <c r="L35" s="10">
        <f t="shared" si="7"/>
        <v>7984425</v>
      </c>
      <c r="M35" s="11"/>
      <c r="N35" s="14">
        <v>37965</v>
      </c>
      <c r="O35" s="37">
        <v>0</v>
      </c>
      <c r="P35" s="9">
        <v>410</v>
      </c>
      <c r="Q35" s="50">
        <v>602</v>
      </c>
      <c r="R35" s="50"/>
      <c r="S35" s="9">
        <v>148</v>
      </c>
      <c r="T35" s="9">
        <v>3</v>
      </c>
      <c r="U35" s="50">
        <v>7</v>
      </c>
      <c r="V35" s="50"/>
      <c r="W35" s="9">
        <f t="shared" si="8"/>
        <v>39135</v>
      </c>
      <c r="X35" s="10">
        <f t="shared" si="9"/>
        <v>348033</v>
      </c>
      <c r="Y35" s="11"/>
      <c r="Z35" s="25">
        <f t="shared" si="10"/>
        <v>1347879</v>
      </c>
      <c r="AA35" s="26">
        <f t="shared" si="11"/>
        <v>8332458</v>
      </c>
    </row>
    <row r="36" spans="2:27" ht="16.5" customHeight="1">
      <c r="B36" s="8" t="s">
        <v>10</v>
      </c>
      <c r="C36" s="9">
        <v>940972</v>
      </c>
      <c r="D36" s="28">
        <v>0</v>
      </c>
      <c r="E36" s="9">
        <v>735</v>
      </c>
      <c r="F36" s="9">
        <v>1949</v>
      </c>
      <c r="G36" s="9">
        <v>22465</v>
      </c>
      <c r="H36" s="9">
        <v>30</v>
      </c>
      <c r="I36" s="50">
        <v>24</v>
      </c>
      <c r="J36" s="50"/>
      <c r="K36" s="9">
        <f t="shared" si="6"/>
        <v>966175</v>
      </c>
      <c r="L36" s="10">
        <f t="shared" si="7"/>
        <v>8950600</v>
      </c>
      <c r="M36" s="11"/>
      <c r="N36" s="14">
        <v>34322</v>
      </c>
      <c r="O36" s="37">
        <v>0</v>
      </c>
      <c r="P36" s="9">
        <v>31</v>
      </c>
      <c r="Q36" s="50">
        <v>480</v>
      </c>
      <c r="R36" s="50"/>
      <c r="S36" s="9">
        <v>139</v>
      </c>
      <c r="T36" s="9">
        <v>0</v>
      </c>
      <c r="U36" s="50">
        <v>4</v>
      </c>
      <c r="V36" s="50"/>
      <c r="W36" s="9">
        <f t="shared" si="8"/>
        <v>34976</v>
      </c>
      <c r="X36" s="10">
        <f t="shared" si="9"/>
        <v>383009</v>
      </c>
      <c r="Y36" s="11"/>
      <c r="Z36" s="25">
        <f t="shared" si="10"/>
        <v>1001151</v>
      </c>
      <c r="AA36" s="26">
        <f t="shared" si="11"/>
        <v>9333609</v>
      </c>
    </row>
    <row r="37" spans="2:27" ht="16.5" customHeight="1">
      <c r="B37" s="8" t="s">
        <v>11</v>
      </c>
      <c r="C37" s="9">
        <v>255973</v>
      </c>
      <c r="D37" s="28">
        <v>0</v>
      </c>
      <c r="E37" s="9">
        <v>577</v>
      </c>
      <c r="F37" s="9">
        <v>871</v>
      </c>
      <c r="G37" s="9">
        <v>5572</v>
      </c>
      <c r="H37" s="9">
        <v>14</v>
      </c>
      <c r="I37" s="50">
        <v>0</v>
      </c>
      <c r="J37" s="50"/>
      <c r="K37" s="9">
        <f t="shared" si="6"/>
        <v>263007</v>
      </c>
      <c r="L37" s="10">
        <f t="shared" si="7"/>
        <v>9213607</v>
      </c>
      <c r="M37" s="11"/>
      <c r="N37" s="14">
        <v>21948</v>
      </c>
      <c r="O37" s="37">
        <v>0</v>
      </c>
      <c r="P37" s="9">
        <v>9</v>
      </c>
      <c r="Q37" s="50">
        <v>327</v>
      </c>
      <c r="R37" s="50"/>
      <c r="S37" s="9">
        <v>93</v>
      </c>
      <c r="T37" s="9">
        <v>0</v>
      </c>
      <c r="U37" s="50">
        <v>0</v>
      </c>
      <c r="V37" s="50"/>
      <c r="W37" s="9">
        <f t="shared" si="8"/>
        <v>22377</v>
      </c>
      <c r="X37" s="10">
        <f t="shared" si="9"/>
        <v>405386</v>
      </c>
      <c r="Y37" s="11"/>
      <c r="Z37" s="25">
        <f t="shared" si="10"/>
        <v>285384</v>
      </c>
      <c r="AA37" s="26">
        <f t="shared" si="11"/>
        <v>9618993</v>
      </c>
    </row>
    <row r="38" spans="2:27" ht="16.5" customHeight="1" thickBot="1">
      <c r="B38" s="8" t="s">
        <v>12</v>
      </c>
      <c r="C38" s="9">
        <v>118188</v>
      </c>
      <c r="D38" s="28">
        <v>0</v>
      </c>
      <c r="E38" s="9">
        <v>3</v>
      </c>
      <c r="F38" s="9">
        <v>893</v>
      </c>
      <c r="G38" s="9">
        <v>1467</v>
      </c>
      <c r="H38" s="9">
        <v>11</v>
      </c>
      <c r="I38" s="50">
        <v>2</v>
      </c>
      <c r="J38" s="50"/>
      <c r="K38" s="9">
        <f t="shared" si="6"/>
        <v>120564</v>
      </c>
      <c r="L38" s="10">
        <f t="shared" si="7"/>
        <v>9334171</v>
      </c>
      <c r="M38" s="11"/>
      <c r="N38" s="14">
        <v>19142</v>
      </c>
      <c r="O38" s="37">
        <v>0</v>
      </c>
      <c r="P38" s="9">
        <v>2</v>
      </c>
      <c r="Q38" s="50">
        <v>210</v>
      </c>
      <c r="R38" s="50"/>
      <c r="S38" s="9">
        <v>131</v>
      </c>
      <c r="T38" s="9">
        <v>2</v>
      </c>
      <c r="U38" s="50">
        <v>0</v>
      </c>
      <c r="V38" s="50"/>
      <c r="W38" s="9">
        <f t="shared" si="8"/>
        <v>19487</v>
      </c>
      <c r="X38" s="10">
        <f t="shared" si="9"/>
        <v>424873</v>
      </c>
      <c r="Y38" s="11"/>
      <c r="Z38" s="33">
        <f t="shared" si="10"/>
        <v>140051</v>
      </c>
      <c r="AA38" s="34">
        <f t="shared" si="11"/>
        <v>9759044</v>
      </c>
    </row>
    <row r="39" spans="2:27" ht="18.75" customHeight="1">
      <c r="B39" s="58" t="s">
        <v>13</v>
      </c>
      <c r="C39" s="17">
        <f aca="true" t="shared" si="12" ref="C39:I39">SUM(C27:C38)</f>
        <v>9164309</v>
      </c>
      <c r="D39" s="35">
        <f t="shared" si="12"/>
        <v>15</v>
      </c>
      <c r="E39" s="17">
        <f t="shared" si="12"/>
        <v>23989</v>
      </c>
      <c r="F39" s="17">
        <f t="shared" si="12"/>
        <v>21714</v>
      </c>
      <c r="G39" s="17">
        <f t="shared" si="12"/>
        <v>122238</v>
      </c>
      <c r="H39" s="17">
        <f t="shared" si="12"/>
        <v>621</v>
      </c>
      <c r="I39" s="66">
        <f t="shared" si="12"/>
        <v>1285</v>
      </c>
      <c r="J39" s="66"/>
      <c r="K39" s="72">
        <f>E40+C40</f>
        <v>9334171</v>
      </c>
      <c r="L39" s="73"/>
      <c r="M39" s="11"/>
      <c r="N39" s="45">
        <v>416013</v>
      </c>
      <c r="O39" s="35">
        <f>SUM(O27:O38)</f>
        <v>1</v>
      </c>
      <c r="P39" s="17">
        <f>SUM(P27:P38)</f>
        <v>2475</v>
      </c>
      <c r="Q39" s="110">
        <f>SUM(Q27:R38)</f>
        <v>4317</v>
      </c>
      <c r="R39" s="111"/>
      <c r="S39" s="17">
        <f>SUM(S27:S38)</f>
        <v>2025</v>
      </c>
      <c r="T39" s="17">
        <f>SUM(T27:T38)</f>
        <v>12</v>
      </c>
      <c r="U39" s="66">
        <f>SUM(U27:V38)</f>
        <v>30</v>
      </c>
      <c r="V39" s="66"/>
      <c r="W39" s="72">
        <f>P40+N40</f>
        <v>424873</v>
      </c>
      <c r="X39" s="73"/>
      <c r="Y39" s="11"/>
      <c r="Z39" s="118">
        <f>W39+K39</f>
        <v>9759044</v>
      </c>
      <c r="AA39" s="119"/>
    </row>
    <row r="40" spans="2:27" ht="18.75" customHeight="1" thickBot="1">
      <c r="B40" s="141"/>
      <c r="C40" s="64">
        <f>C39+D39</f>
        <v>9164324</v>
      </c>
      <c r="D40" s="65"/>
      <c r="E40" s="69">
        <f>SUM(E39:J39)</f>
        <v>169847</v>
      </c>
      <c r="F40" s="69"/>
      <c r="G40" s="69"/>
      <c r="H40" s="69"/>
      <c r="I40" s="69"/>
      <c r="J40" s="69"/>
      <c r="K40" s="74"/>
      <c r="L40" s="75"/>
      <c r="M40" s="5"/>
      <c r="N40" s="122">
        <f>N39+O39</f>
        <v>416014</v>
      </c>
      <c r="O40" s="65"/>
      <c r="P40" s="69">
        <f>SUM(P39:V39)</f>
        <v>8859</v>
      </c>
      <c r="Q40" s="69"/>
      <c r="R40" s="69"/>
      <c r="S40" s="69"/>
      <c r="T40" s="69"/>
      <c r="U40" s="69"/>
      <c r="V40" s="69"/>
      <c r="W40" s="74"/>
      <c r="X40" s="75"/>
      <c r="Y40" s="5"/>
      <c r="Z40" s="120"/>
      <c r="AA40" s="121"/>
    </row>
    <row r="41" ht="15" customHeight="1"/>
    <row r="42" ht="3.75" customHeight="1" thickBot="1"/>
    <row r="43" spans="2:27" ht="30" customHeight="1" thickBot="1">
      <c r="B43" s="93" t="s">
        <v>47</v>
      </c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94"/>
      <c r="S43" s="94"/>
      <c r="T43" s="94"/>
      <c r="U43" s="94"/>
      <c r="V43" s="94"/>
      <c r="W43" s="94"/>
      <c r="X43" s="94"/>
      <c r="Y43" s="94"/>
      <c r="Z43" s="94"/>
      <c r="AA43" s="95"/>
    </row>
    <row r="44" spans="2:27" ht="21.75" customHeight="1">
      <c r="B44" s="83" t="s">
        <v>18</v>
      </c>
      <c r="C44" s="84"/>
      <c r="D44" s="84"/>
      <c r="E44" s="84"/>
      <c r="F44" s="84"/>
      <c r="G44" s="84"/>
      <c r="H44" s="85"/>
      <c r="I44" s="27"/>
      <c r="J44" s="83" t="s">
        <v>24</v>
      </c>
      <c r="K44" s="84"/>
      <c r="L44" s="84"/>
      <c r="M44" s="84"/>
      <c r="N44" s="84"/>
      <c r="O44" s="84"/>
      <c r="P44" s="84"/>
      <c r="Q44" s="85"/>
      <c r="R44" s="3"/>
      <c r="S44" s="83" t="s">
        <v>25</v>
      </c>
      <c r="T44" s="84"/>
      <c r="U44" s="84"/>
      <c r="V44" s="84"/>
      <c r="W44" s="84"/>
      <c r="X44" s="84"/>
      <c r="Y44" s="84"/>
      <c r="Z44" s="84"/>
      <c r="AA44" s="85"/>
    </row>
    <row r="45" spans="2:27" ht="18" customHeight="1">
      <c r="B45" s="112" t="s">
        <v>0</v>
      </c>
      <c r="C45" s="123"/>
      <c r="D45" s="89" t="s">
        <v>14</v>
      </c>
      <c r="E45" s="90"/>
      <c r="F45" s="126"/>
      <c r="G45" s="79" t="s">
        <v>15</v>
      </c>
      <c r="H45" s="88"/>
      <c r="I45" s="29"/>
      <c r="J45" s="112" t="s">
        <v>0</v>
      </c>
      <c r="K45" s="113"/>
      <c r="L45" s="89" t="s">
        <v>14</v>
      </c>
      <c r="M45" s="90"/>
      <c r="N45" s="90"/>
      <c r="O45" s="126"/>
      <c r="P45" s="79" t="s">
        <v>15</v>
      </c>
      <c r="Q45" s="88"/>
      <c r="R45" s="29"/>
      <c r="S45" s="112" t="s">
        <v>0</v>
      </c>
      <c r="T45" s="123"/>
      <c r="U45" s="113"/>
      <c r="V45" s="79" t="s">
        <v>14</v>
      </c>
      <c r="W45" s="79"/>
      <c r="X45" s="79"/>
      <c r="Y45" s="79"/>
      <c r="Z45" s="79" t="s">
        <v>15</v>
      </c>
      <c r="AA45" s="88"/>
    </row>
    <row r="46" spans="2:27" ht="16.5" customHeight="1">
      <c r="B46" s="114"/>
      <c r="C46" s="124"/>
      <c r="D46" s="131" t="s">
        <v>43</v>
      </c>
      <c r="E46" s="135"/>
      <c r="F46" s="86" t="s">
        <v>21</v>
      </c>
      <c r="G46" s="86" t="s">
        <v>20</v>
      </c>
      <c r="H46" s="87" t="s">
        <v>21</v>
      </c>
      <c r="I46" s="30"/>
      <c r="J46" s="114"/>
      <c r="K46" s="115"/>
      <c r="L46" s="131" t="s">
        <v>20</v>
      </c>
      <c r="M46" s="132"/>
      <c r="N46" s="127" t="s">
        <v>40</v>
      </c>
      <c r="O46" s="128"/>
      <c r="P46" s="86" t="s">
        <v>20</v>
      </c>
      <c r="Q46" s="87" t="s">
        <v>21</v>
      </c>
      <c r="R46" s="30"/>
      <c r="S46" s="114"/>
      <c r="T46" s="124"/>
      <c r="U46" s="115"/>
      <c r="V46" s="86" t="s">
        <v>22</v>
      </c>
      <c r="W46" s="86"/>
      <c r="X46" s="131" t="s">
        <v>21</v>
      </c>
      <c r="Y46" s="135"/>
      <c r="Z46" s="86" t="s">
        <v>20</v>
      </c>
      <c r="AA46" s="87" t="s">
        <v>21</v>
      </c>
    </row>
    <row r="47" spans="2:27" ht="16.5" customHeight="1">
      <c r="B47" s="116"/>
      <c r="C47" s="125"/>
      <c r="D47" s="133" t="s">
        <v>44</v>
      </c>
      <c r="E47" s="136"/>
      <c r="F47" s="86"/>
      <c r="G47" s="86"/>
      <c r="H47" s="87"/>
      <c r="I47" s="30"/>
      <c r="J47" s="116"/>
      <c r="K47" s="117"/>
      <c r="L47" s="133"/>
      <c r="M47" s="134"/>
      <c r="N47" s="129" t="s">
        <v>41</v>
      </c>
      <c r="O47" s="130"/>
      <c r="P47" s="86"/>
      <c r="Q47" s="87"/>
      <c r="R47" s="30"/>
      <c r="S47" s="116"/>
      <c r="T47" s="125"/>
      <c r="U47" s="117"/>
      <c r="V47" s="86"/>
      <c r="W47" s="86"/>
      <c r="X47" s="133"/>
      <c r="Y47" s="136"/>
      <c r="Z47" s="86"/>
      <c r="AA47" s="87"/>
    </row>
    <row r="48" spans="2:27" ht="15.75" customHeight="1">
      <c r="B48" s="40" t="s">
        <v>1</v>
      </c>
      <c r="C48" s="41"/>
      <c r="D48" s="79">
        <f aca="true" t="shared" si="13" ref="D48:D58">K27-K8</f>
        <v>30537</v>
      </c>
      <c r="E48" s="79"/>
      <c r="F48" s="31">
        <f aca="true" t="shared" si="14" ref="F48:F59">(D48/K8)*100</f>
        <v>33.554561737009244</v>
      </c>
      <c r="G48" s="28">
        <f aca="true" t="shared" si="15" ref="G48:G59">L27-L8</f>
        <v>30537</v>
      </c>
      <c r="H48" s="32">
        <f aca="true" t="shared" si="16" ref="H48:H59">((L27-L8)/L8)*100</f>
        <v>33.554561737009244</v>
      </c>
      <c r="I48" s="22"/>
      <c r="J48" s="96" t="s">
        <v>1</v>
      </c>
      <c r="K48" s="97"/>
      <c r="L48" s="89">
        <f aca="true" t="shared" si="17" ref="L48:L58">W27-W8</f>
        <v>3158</v>
      </c>
      <c r="M48" s="90"/>
      <c r="N48" s="70">
        <f aca="true" t="shared" si="18" ref="N48:N58">(L48/W8)*100</f>
        <v>18.383979508673885</v>
      </c>
      <c r="O48" s="71"/>
      <c r="P48" s="28">
        <f aca="true" t="shared" si="19" ref="P48:P59">X27-X8</f>
        <v>3158</v>
      </c>
      <c r="Q48" s="32">
        <f aca="true" t="shared" si="20" ref="Q48:Q59">(P48/X8)*100</f>
        <v>18.383979508673885</v>
      </c>
      <c r="R48" s="22"/>
      <c r="S48" s="76" t="s">
        <v>1</v>
      </c>
      <c r="T48" s="77"/>
      <c r="U48" s="78"/>
      <c r="V48" s="79">
        <f aca="true" t="shared" si="21" ref="V48:V58">Z27-Z8</f>
        <v>33695</v>
      </c>
      <c r="W48" s="79"/>
      <c r="X48" s="70">
        <f aca="true" t="shared" si="22" ref="X48:X58">(V48/Z8)*100</f>
        <v>31.14572260479734</v>
      </c>
      <c r="Y48" s="71"/>
      <c r="Z48" s="28">
        <f aca="true" t="shared" si="23" ref="Z48:Z59">AA27-AA8</f>
        <v>33695</v>
      </c>
      <c r="AA48" s="32">
        <f aca="true" t="shared" si="24" ref="AA48:AA59">(Z48/AA8)*100</f>
        <v>31.14572260479734</v>
      </c>
    </row>
    <row r="49" spans="2:27" ht="15.75" customHeight="1">
      <c r="B49" s="40" t="s">
        <v>7</v>
      </c>
      <c r="C49" s="41"/>
      <c r="D49" s="79">
        <f t="shared" si="13"/>
        <v>26304</v>
      </c>
      <c r="E49" s="79"/>
      <c r="F49" s="31">
        <f t="shared" si="14"/>
        <v>20.225911373230502</v>
      </c>
      <c r="G49" s="28">
        <f t="shared" si="15"/>
        <v>56841</v>
      </c>
      <c r="H49" s="32">
        <f t="shared" si="16"/>
        <v>25.713161251798173</v>
      </c>
      <c r="I49" s="22"/>
      <c r="J49" s="96" t="s">
        <v>7</v>
      </c>
      <c r="K49" s="97"/>
      <c r="L49" s="89">
        <f t="shared" si="17"/>
        <v>-852</v>
      </c>
      <c r="M49" s="90"/>
      <c r="N49" s="70">
        <f t="shared" si="18"/>
        <v>-4.626160612477602</v>
      </c>
      <c r="O49" s="71"/>
      <c r="P49" s="28">
        <f t="shared" si="19"/>
        <v>2306</v>
      </c>
      <c r="Q49" s="32">
        <f t="shared" si="20"/>
        <v>6.478437982862761</v>
      </c>
      <c r="R49" s="22"/>
      <c r="S49" s="76" t="s">
        <v>7</v>
      </c>
      <c r="T49" s="77"/>
      <c r="U49" s="78"/>
      <c r="V49" s="79">
        <f t="shared" si="21"/>
        <v>25452</v>
      </c>
      <c r="W49" s="79"/>
      <c r="X49" s="70">
        <f t="shared" si="22"/>
        <v>17.143088072850716</v>
      </c>
      <c r="Y49" s="71"/>
      <c r="Z49" s="28">
        <f t="shared" si="23"/>
        <v>59147</v>
      </c>
      <c r="AA49" s="32">
        <f t="shared" si="24"/>
        <v>23.045512813019915</v>
      </c>
    </row>
    <row r="50" spans="2:27" ht="15.75" customHeight="1">
      <c r="B50" s="40" t="s">
        <v>2</v>
      </c>
      <c r="C50" s="41"/>
      <c r="D50" s="79">
        <f t="shared" si="13"/>
        <v>103427</v>
      </c>
      <c r="E50" s="79"/>
      <c r="F50" s="31">
        <f t="shared" si="14"/>
        <v>48.37286962378164</v>
      </c>
      <c r="G50" s="28">
        <f t="shared" si="15"/>
        <v>160268</v>
      </c>
      <c r="H50" s="32">
        <f t="shared" si="16"/>
        <v>36.85423229930784</v>
      </c>
      <c r="I50" s="22"/>
      <c r="J50" s="96" t="s">
        <v>2</v>
      </c>
      <c r="K50" s="97"/>
      <c r="L50" s="89">
        <f t="shared" si="17"/>
        <v>1424</v>
      </c>
      <c r="M50" s="90"/>
      <c r="N50" s="70">
        <f t="shared" si="18"/>
        <v>5.494251099621884</v>
      </c>
      <c r="O50" s="71"/>
      <c r="P50" s="28">
        <f t="shared" si="19"/>
        <v>3730</v>
      </c>
      <c r="Q50" s="32">
        <f t="shared" si="20"/>
        <v>6.063758880236698</v>
      </c>
      <c r="R50" s="22"/>
      <c r="S50" s="76" t="s">
        <v>2</v>
      </c>
      <c r="T50" s="77"/>
      <c r="U50" s="78"/>
      <c r="V50" s="79">
        <f t="shared" si="21"/>
        <v>104851</v>
      </c>
      <c r="W50" s="79"/>
      <c r="X50" s="70">
        <f t="shared" si="22"/>
        <v>43.73712092771034</v>
      </c>
      <c r="Y50" s="71"/>
      <c r="Z50" s="28">
        <f t="shared" si="23"/>
        <v>163998</v>
      </c>
      <c r="AA50" s="32">
        <f t="shared" si="24"/>
        <v>33.03860124138014</v>
      </c>
    </row>
    <row r="51" spans="2:27" ht="15.75" customHeight="1">
      <c r="B51" s="40" t="s">
        <v>3</v>
      </c>
      <c r="C51" s="41"/>
      <c r="D51" s="79">
        <f t="shared" si="13"/>
        <v>2260</v>
      </c>
      <c r="E51" s="79"/>
      <c r="F51" s="31">
        <f t="shared" si="14"/>
        <v>0.49265379081832844</v>
      </c>
      <c r="G51" s="28">
        <f t="shared" si="15"/>
        <v>162528</v>
      </c>
      <c r="H51" s="32">
        <f t="shared" si="16"/>
        <v>18.18780004700037</v>
      </c>
      <c r="I51" s="22"/>
      <c r="J51" s="96" t="s">
        <v>3</v>
      </c>
      <c r="K51" s="97"/>
      <c r="L51" s="89">
        <f t="shared" si="17"/>
        <v>67</v>
      </c>
      <c r="M51" s="90"/>
      <c r="N51" s="70">
        <f t="shared" si="18"/>
        <v>0.2451159727811517</v>
      </c>
      <c r="O51" s="71"/>
      <c r="P51" s="28">
        <f t="shared" si="19"/>
        <v>3797</v>
      </c>
      <c r="Q51" s="32">
        <f t="shared" si="20"/>
        <v>4.273638952356298</v>
      </c>
      <c r="R51" s="22"/>
      <c r="S51" s="76" t="s">
        <v>3</v>
      </c>
      <c r="T51" s="77"/>
      <c r="U51" s="78"/>
      <c r="V51" s="79">
        <f t="shared" si="21"/>
        <v>2327</v>
      </c>
      <c r="W51" s="79"/>
      <c r="X51" s="70">
        <f t="shared" si="22"/>
        <v>0.4787336907549056</v>
      </c>
      <c r="Y51" s="71"/>
      <c r="Z51" s="28">
        <f t="shared" si="23"/>
        <v>166325</v>
      </c>
      <c r="AA51" s="32">
        <f t="shared" si="24"/>
        <v>16.929494115264077</v>
      </c>
    </row>
    <row r="52" spans="2:27" ht="15.75" customHeight="1">
      <c r="B52" s="40" t="s">
        <v>4</v>
      </c>
      <c r="C52" s="41"/>
      <c r="D52" s="79">
        <f t="shared" si="13"/>
        <v>267713</v>
      </c>
      <c r="E52" s="79"/>
      <c r="F52" s="31">
        <f t="shared" si="14"/>
        <v>27.98164610214843</v>
      </c>
      <c r="G52" s="28">
        <f t="shared" si="15"/>
        <v>430241</v>
      </c>
      <c r="H52" s="32">
        <f t="shared" si="16"/>
        <v>23.251808436759433</v>
      </c>
      <c r="I52" s="22"/>
      <c r="J52" s="96" t="s">
        <v>4</v>
      </c>
      <c r="K52" s="97"/>
      <c r="L52" s="89">
        <f t="shared" si="17"/>
        <v>135</v>
      </c>
      <c r="M52" s="90"/>
      <c r="N52" s="70">
        <f t="shared" si="18"/>
        <v>0.35980810234541577</v>
      </c>
      <c r="O52" s="71"/>
      <c r="P52" s="28">
        <f t="shared" si="19"/>
        <v>3932</v>
      </c>
      <c r="Q52" s="32">
        <f t="shared" si="20"/>
        <v>3.111571850245713</v>
      </c>
      <c r="R52" s="22"/>
      <c r="S52" s="76" t="s">
        <v>4</v>
      </c>
      <c r="T52" s="77"/>
      <c r="U52" s="78"/>
      <c r="V52" s="79">
        <f t="shared" si="21"/>
        <v>267848</v>
      </c>
      <c r="W52" s="79"/>
      <c r="X52" s="70">
        <f t="shared" si="22"/>
        <v>26.93929686753532</v>
      </c>
      <c r="Y52" s="71"/>
      <c r="Z52" s="28">
        <f t="shared" si="23"/>
        <v>434173</v>
      </c>
      <c r="AA52" s="32">
        <f t="shared" si="24"/>
        <v>21.96429239923469</v>
      </c>
    </row>
    <row r="53" spans="2:27" ht="15.75" customHeight="1">
      <c r="B53" s="40" t="s">
        <v>5</v>
      </c>
      <c r="C53" s="41"/>
      <c r="D53" s="79">
        <f t="shared" si="13"/>
        <v>148585</v>
      </c>
      <c r="E53" s="79"/>
      <c r="F53" s="31">
        <f t="shared" si="14"/>
        <v>12.111561513951303</v>
      </c>
      <c r="G53" s="28">
        <f t="shared" si="15"/>
        <v>578826</v>
      </c>
      <c r="H53" s="32">
        <f t="shared" si="16"/>
        <v>18.81040882528619</v>
      </c>
      <c r="I53" s="22"/>
      <c r="J53" s="96" t="s">
        <v>5</v>
      </c>
      <c r="K53" s="97"/>
      <c r="L53" s="89">
        <f t="shared" si="17"/>
        <v>-4565</v>
      </c>
      <c r="M53" s="90"/>
      <c r="N53" s="70">
        <f t="shared" si="18"/>
        <v>-7.890142938624539</v>
      </c>
      <c r="O53" s="71"/>
      <c r="P53" s="28">
        <f t="shared" si="19"/>
        <v>-633</v>
      </c>
      <c r="Q53" s="32">
        <f t="shared" si="20"/>
        <v>-0.34360343929129755</v>
      </c>
      <c r="R53" s="22"/>
      <c r="S53" s="76" t="s">
        <v>5</v>
      </c>
      <c r="T53" s="77"/>
      <c r="U53" s="78"/>
      <c r="V53" s="79">
        <f t="shared" si="21"/>
        <v>144020</v>
      </c>
      <c r="W53" s="79"/>
      <c r="X53" s="70">
        <f t="shared" si="22"/>
        <v>11.210748369218315</v>
      </c>
      <c r="Y53" s="71"/>
      <c r="Z53" s="28">
        <f t="shared" si="23"/>
        <v>578193</v>
      </c>
      <c r="AA53" s="32">
        <f t="shared" si="24"/>
        <v>17.72846603065817</v>
      </c>
    </row>
    <row r="54" spans="2:27" ht="15.75" customHeight="1">
      <c r="B54" s="40" t="s">
        <v>6</v>
      </c>
      <c r="C54" s="41"/>
      <c r="D54" s="79">
        <f t="shared" si="13"/>
        <v>89456</v>
      </c>
      <c r="E54" s="79"/>
      <c r="F54" s="31">
        <f t="shared" si="14"/>
        <v>6.228602581929003</v>
      </c>
      <c r="G54" s="28">
        <f t="shared" si="15"/>
        <v>668282</v>
      </c>
      <c r="H54" s="32">
        <f t="shared" si="16"/>
        <v>14.806715424014556</v>
      </c>
      <c r="I54" s="22"/>
      <c r="J54" s="96" t="s">
        <v>6</v>
      </c>
      <c r="K54" s="97"/>
      <c r="L54" s="89">
        <f t="shared" si="17"/>
        <v>-4357</v>
      </c>
      <c r="M54" s="90"/>
      <c r="N54" s="70">
        <f t="shared" si="18"/>
        <v>-5.070760206694288</v>
      </c>
      <c r="O54" s="71"/>
      <c r="P54" s="28">
        <f t="shared" si="19"/>
        <v>-4990</v>
      </c>
      <c r="Q54" s="32">
        <f t="shared" si="20"/>
        <v>-1.8471356441654203</v>
      </c>
      <c r="R54" s="22"/>
      <c r="S54" s="76" t="s">
        <v>6</v>
      </c>
      <c r="T54" s="77"/>
      <c r="U54" s="78"/>
      <c r="V54" s="79">
        <f t="shared" si="21"/>
        <v>85099</v>
      </c>
      <c r="W54" s="79"/>
      <c r="X54" s="70">
        <f t="shared" si="22"/>
        <v>5.590758256319898</v>
      </c>
      <c r="Y54" s="71"/>
      <c r="Z54" s="28">
        <f t="shared" si="23"/>
        <v>663292</v>
      </c>
      <c r="AA54" s="32">
        <f t="shared" si="24"/>
        <v>13.866193486427042</v>
      </c>
    </row>
    <row r="55" spans="2:27" ht="15.75" customHeight="1">
      <c r="B55" s="40" t="s">
        <v>8</v>
      </c>
      <c r="C55" s="41"/>
      <c r="D55" s="79">
        <f t="shared" si="13"/>
        <v>75780</v>
      </c>
      <c r="E55" s="79"/>
      <c r="F55" s="31">
        <f t="shared" si="14"/>
        <v>5.343212188559406</v>
      </c>
      <c r="G55" s="28">
        <f t="shared" si="15"/>
        <v>744062</v>
      </c>
      <c r="H55" s="32">
        <f t="shared" si="16"/>
        <v>12.543995155454185</v>
      </c>
      <c r="I55" s="22"/>
      <c r="J55" s="96" t="s">
        <v>17</v>
      </c>
      <c r="K55" s="97"/>
      <c r="L55" s="89">
        <f t="shared" si="17"/>
        <v>-9772</v>
      </c>
      <c r="M55" s="90"/>
      <c r="N55" s="70">
        <f t="shared" si="18"/>
        <v>-18.261324562714908</v>
      </c>
      <c r="O55" s="71"/>
      <c r="P55" s="28">
        <f t="shared" si="19"/>
        <v>-14762</v>
      </c>
      <c r="Q55" s="32">
        <f t="shared" si="20"/>
        <v>-4.560959031082</v>
      </c>
      <c r="R55" s="22"/>
      <c r="S55" s="76" t="s">
        <v>17</v>
      </c>
      <c r="T55" s="77"/>
      <c r="U55" s="78"/>
      <c r="V55" s="79">
        <f t="shared" si="21"/>
        <v>66008</v>
      </c>
      <c r="W55" s="79"/>
      <c r="X55" s="70">
        <f t="shared" si="22"/>
        <v>4.484970375604718</v>
      </c>
      <c r="Y55" s="71"/>
      <c r="Z55" s="28">
        <f t="shared" si="23"/>
        <v>729300</v>
      </c>
      <c r="AA55" s="32">
        <f t="shared" si="24"/>
        <v>11.65895238245968</v>
      </c>
    </row>
    <row r="56" spans="2:27" ht="15.75" customHeight="1">
      <c r="B56" s="40" t="s">
        <v>9</v>
      </c>
      <c r="C56" s="41"/>
      <c r="D56" s="79">
        <f t="shared" si="13"/>
        <v>96426</v>
      </c>
      <c r="E56" s="79"/>
      <c r="F56" s="31">
        <f t="shared" si="14"/>
        <v>7.953853691853127</v>
      </c>
      <c r="G56" s="28">
        <f t="shared" si="15"/>
        <v>840488</v>
      </c>
      <c r="H56" s="32">
        <f t="shared" si="16"/>
        <v>11.76505335923315</v>
      </c>
      <c r="I56" s="22"/>
      <c r="J56" s="96" t="s">
        <v>9</v>
      </c>
      <c r="K56" s="97"/>
      <c r="L56" s="89">
        <f t="shared" si="17"/>
        <v>340</v>
      </c>
      <c r="M56" s="90"/>
      <c r="N56" s="70">
        <f t="shared" si="18"/>
        <v>0.8764015981440908</v>
      </c>
      <c r="O56" s="71"/>
      <c r="P56" s="28">
        <f t="shared" si="19"/>
        <v>-14422</v>
      </c>
      <c r="Q56" s="32">
        <f t="shared" si="20"/>
        <v>-3.9789767005559313</v>
      </c>
      <c r="R56" s="22"/>
      <c r="S56" s="76" t="s">
        <v>9</v>
      </c>
      <c r="T56" s="77"/>
      <c r="U56" s="78"/>
      <c r="V56" s="79">
        <f t="shared" si="21"/>
        <v>96766</v>
      </c>
      <c r="W56" s="79"/>
      <c r="X56" s="70">
        <f t="shared" si="22"/>
        <v>7.734393296209055</v>
      </c>
      <c r="Y56" s="71"/>
      <c r="Z56" s="28">
        <f t="shared" si="23"/>
        <v>826066</v>
      </c>
      <c r="AA56" s="32">
        <f t="shared" si="24"/>
        <v>11.00483427990438</v>
      </c>
    </row>
    <row r="57" spans="2:27" ht="15.75" customHeight="1">
      <c r="B57" s="40" t="s">
        <v>10</v>
      </c>
      <c r="C57" s="41"/>
      <c r="D57" s="79">
        <f t="shared" si="13"/>
        <v>142869</v>
      </c>
      <c r="E57" s="79"/>
      <c r="F57" s="31">
        <f t="shared" si="14"/>
        <v>17.353086215817694</v>
      </c>
      <c r="G57" s="28">
        <f t="shared" si="15"/>
        <v>983357</v>
      </c>
      <c r="H57" s="32">
        <f t="shared" si="16"/>
        <v>12.342500410744343</v>
      </c>
      <c r="I57" s="22"/>
      <c r="J57" s="96" t="s">
        <v>10</v>
      </c>
      <c r="K57" s="97"/>
      <c r="L57" s="89">
        <f t="shared" si="17"/>
        <v>1582</v>
      </c>
      <c r="M57" s="90"/>
      <c r="N57" s="70">
        <f t="shared" si="18"/>
        <v>4.737377972090795</v>
      </c>
      <c r="O57" s="71"/>
      <c r="P57" s="28">
        <f t="shared" si="19"/>
        <v>-12840</v>
      </c>
      <c r="Q57" s="32">
        <f t="shared" si="20"/>
        <v>-3.24366109299253</v>
      </c>
      <c r="R57" s="22"/>
      <c r="S57" s="76" t="s">
        <v>10</v>
      </c>
      <c r="T57" s="77"/>
      <c r="U57" s="78"/>
      <c r="V57" s="79">
        <f t="shared" si="21"/>
        <v>144451</v>
      </c>
      <c r="W57" s="79"/>
      <c r="X57" s="70">
        <f t="shared" si="22"/>
        <v>16.861328352982376</v>
      </c>
      <c r="Y57" s="71"/>
      <c r="Z57" s="28">
        <f t="shared" si="23"/>
        <v>970517</v>
      </c>
      <c r="AA57" s="32">
        <f t="shared" si="24"/>
        <v>11.604762927395752</v>
      </c>
    </row>
    <row r="58" spans="2:27" ht="15.75" customHeight="1">
      <c r="B58" s="40" t="s">
        <v>11</v>
      </c>
      <c r="C58" s="41"/>
      <c r="D58" s="79">
        <f t="shared" si="13"/>
        <v>10316</v>
      </c>
      <c r="E58" s="79"/>
      <c r="F58" s="31">
        <f t="shared" si="14"/>
        <v>4.082456438891769</v>
      </c>
      <c r="G58" s="28">
        <f t="shared" si="15"/>
        <v>993673</v>
      </c>
      <c r="H58" s="32">
        <f t="shared" si="16"/>
        <v>12.08857638029697</v>
      </c>
      <c r="I58" s="22"/>
      <c r="J58" s="96" t="s">
        <v>11</v>
      </c>
      <c r="K58" s="97"/>
      <c r="L58" s="89">
        <f t="shared" si="17"/>
        <v>-2811</v>
      </c>
      <c r="M58" s="90"/>
      <c r="N58" s="70">
        <f t="shared" si="18"/>
        <v>-11.160076226774654</v>
      </c>
      <c r="O58" s="71"/>
      <c r="P58" s="28">
        <f t="shared" si="19"/>
        <v>-15651</v>
      </c>
      <c r="Q58" s="32">
        <f t="shared" si="20"/>
        <v>-3.7172505029249208</v>
      </c>
      <c r="R58" s="22"/>
      <c r="S58" s="76" t="s">
        <v>11</v>
      </c>
      <c r="T58" s="77"/>
      <c r="U58" s="78"/>
      <c r="V58" s="79">
        <f t="shared" si="21"/>
        <v>7505</v>
      </c>
      <c r="W58" s="79"/>
      <c r="X58" s="70">
        <f t="shared" si="22"/>
        <v>2.700815822714203</v>
      </c>
      <c r="Y58" s="71"/>
      <c r="Z58" s="28">
        <f t="shared" si="23"/>
        <v>978022</v>
      </c>
      <c r="AA58" s="32">
        <f t="shared" si="24"/>
        <v>11.31842706103284</v>
      </c>
    </row>
    <row r="59" spans="2:27" ht="15.75" customHeight="1" thickBot="1">
      <c r="B59" s="42" t="s">
        <v>12</v>
      </c>
      <c r="C59" s="46"/>
      <c r="D59" s="144">
        <f>K38-K19</f>
        <v>-10371</v>
      </c>
      <c r="E59" s="144"/>
      <c r="F59" s="48">
        <f t="shared" si="14"/>
        <v>-7.920724023370375</v>
      </c>
      <c r="G59" s="47">
        <f t="shared" si="15"/>
        <v>983302</v>
      </c>
      <c r="H59" s="49">
        <f t="shared" si="16"/>
        <v>11.774846426162355</v>
      </c>
      <c r="I59" s="22"/>
      <c r="J59" s="145" t="s">
        <v>12</v>
      </c>
      <c r="K59" s="146"/>
      <c r="L59" s="147">
        <f>W38-W19</f>
        <v>-5192</v>
      </c>
      <c r="M59" s="148"/>
      <c r="N59" s="149">
        <f>(L59/W19)*100</f>
        <v>-21.038129583856723</v>
      </c>
      <c r="O59" s="150"/>
      <c r="P59" s="47">
        <f t="shared" si="19"/>
        <v>-20843</v>
      </c>
      <c r="Q59" s="49">
        <f t="shared" si="20"/>
        <v>-4.676296116809807</v>
      </c>
      <c r="R59" s="22"/>
      <c r="S59" s="151" t="s">
        <v>12</v>
      </c>
      <c r="T59" s="152"/>
      <c r="U59" s="153"/>
      <c r="V59" s="144">
        <f>Z38-Z19</f>
        <v>-15563</v>
      </c>
      <c r="W59" s="144"/>
      <c r="X59" s="149">
        <f>(V59/Z19)*100</f>
        <v>-10.001028185124731</v>
      </c>
      <c r="Y59" s="150"/>
      <c r="Z59" s="47">
        <f t="shared" si="23"/>
        <v>962459</v>
      </c>
      <c r="AA59" s="49">
        <f t="shared" si="24"/>
        <v>10.941280053566242</v>
      </c>
    </row>
    <row r="60" spans="2:27" ht="21.75" customHeight="1">
      <c r="B60" s="142" t="s">
        <v>48</v>
      </c>
      <c r="C60" s="142"/>
      <c r="D60" s="142"/>
      <c r="E60" s="142"/>
      <c r="F60" s="142"/>
      <c r="G60" s="142"/>
      <c r="H60" s="142"/>
      <c r="I60" s="142"/>
      <c r="J60" s="142"/>
      <c r="K60" s="142"/>
      <c r="L60" s="142"/>
      <c r="M60" s="142"/>
      <c r="N60" s="142"/>
      <c r="O60" s="142"/>
      <c r="P60" s="142"/>
      <c r="Q60" s="142"/>
      <c r="R60" s="142"/>
      <c r="S60" s="142"/>
      <c r="T60" s="142"/>
      <c r="U60" s="142"/>
      <c r="V60" s="142"/>
      <c r="W60" s="142"/>
      <c r="X60" s="142"/>
      <c r="Y60" s="142"/>
      <c r="Z60" s="142"/>
      <c r="AA60" s="143"/>
    </row>
    <row r="61" spans="2:27" ht="21.75" customHeight="1">
      <c r="B61" s="142" t="s">
        <v>49</v>
      </c>
      <c r="C61" s="142"/>
      <c r="D61" s="142"/>
      <c r="E61" s="142"/>
      <c r="F61" s="142"/>
      <c r="G61" s="142"/>
      <c r="H61" s="142"/>
      <c r="I61" s="142"/>
      <c r="J61" s="142"/>
      <c r="K61" s="142"/>
      <c r="L61" s="142"/>
      <c r="M61" s="142"/>
      <c r="N61" s="142"/>
      <c r="O61" s="142"/>
      <c r="P61" s="142"/>
      <c r="Q61" s="142"/>
      <c r="R61" s="142"/>
      <c r="S61" s="142"/>
      <c r="T61" s="142"/>
      <c r="U61" s="142"/>
      <c r="V61" s="142"/>
      <c r="W61" s="142"/>
      <c r="X61" s="142"/>
      <c r="Y61" s="142"/>
      <c r="Z61" s="142"/>
      <c r="AA61" s="143"/>
    </row>
  </sheetData>
  <sheetProtection/>
  <mergeCells count="237">
    <mergeCell ref="B60:AA60"/>
    <mergeCell ref="J59:K59"/>
    <mergeCell ref="L59:M59"/>
    <mergeCell ref="N59:O59"/>
    <mergeCell ref="S59:U59"/>
    <mergeCell ref="V59:W59"/>
    <mergeCell ref="X59:Y59"/>
    <mergeCell ref="B61:AA61"/>
    <mergeCell ref="D50:E50"/>
    <mergeCell ref="D51:E51"/>
    <mergeCell ref="F46:F47"/>
    <mergeCell ref="D59:E59"/>
    <mergeCell ref="D58:E58"/>
    <mergeCell ref="D52:E52"/>
    <mergeCell ref="D53:E53"/>
    <mergeCell ref="D57:E57"/>
    <mergeCell ref="D54:E54"/>
    <mergeCell ref="I13:J13"/>
    <mergeCell ref="I14:J14"/>
    <mergeCell ref="B39:B40"/>
    <mergeCell ref="I37:J37"/>
    <mergeCell ref="D55:E55"/>
    <mergeCell ref="D56:E56"/>
    <mergeCell ref="D49:E49"/>
    <mergeCell ref="J49:K49"/>
    <mergeCell ref="B45:C47"/>
    <mergeCell ref="J48:K48"/>
    <mergeCell ref="I36:J36"/>
    <mergeCell ref="D48:E48"/>
    <mergeCell ref="C21:D21"/>
    <mergeCell ref="B20:B21"/>
    <mergeCell ref="E21:J21"/>
    <mergeCell ref="I20:J20"/>
    <mergeCell ref="G46:G47"/>
    <mergeCell ref="D45:F45"/>
    <mergeCell ref="D47:E47"/>
    <mergeCell ref="D46:E46"/>
    <mergeCell ref="I34:J34"/>
    <mergeCell ref="I35:J35"/>
    <mergeCell ref="I29:J29"/>
    <mergeCell ref="I32:J32"/>
    <mergeCell ref="I33:J33"/>
    <mergeCell ref="U31:V31"/>
    <mergeCell ref="Q13:R13"/>
    <mergeCell ref="Z20:AA21"/>
    <mergeCell ref="N24:X24"/>
    <mergeCell ref="Q35:R35"/>
    <mergeCell ref="N25:O25"/>
    <mergeCell ref="U32:V32"/>
    <mergeCell ref="W25:X25"/>
    <mergeCell ref="N21:O21"/>
    <mergeCell ref="U27:V27"/>
    <mergeCell ref="U30:V30"/>
    <mergeCell ref="N48:O48"/>
    <mergeCell ref="N49:O49"/>
    <mergeCell ref="L53:M53"/>
    <mergeCell ref="N50:O50"/>
    <mergeCell ref="N53:O53"/>
    <mergeCell ref="L50:M50"/>
    <mergeCell ref="L51:M51"/>
    <mergeCell ref="L52:M52"/>
    <mergeCell ref="S48:U48"/>
    <mergeCell ref="X48:Y48"/>
    <mergeCell ref="X46:Y47"/>
    <mergeCell ref="S49:U49"/>
    <mergeCell ref="V54:W54"/>
    <mergeCell ref="U38:V38"/>
    <mergeCell ref="S53:U53"/>
    <mergeCell ref="V48:W48"/>
    <mergeCell ref="V49:W49"/>
    <mergeCell ref="X51:Y51"/>
    <mergeCell ref="Z39:AA40"/>
    <mergeCell ref="N40:O40"/>
    <mergeCell ref="S45:U47"/>
    <mergeCell ref="L45:O45"/>
    <mergeCell ref="P45:Q45"/>
    <mergeCell ref="N46:O46"/>
    <mergeCell ref="N47:O47"/>
    <mergeCell ref="L46:M47"/>
    <mergeCell ref="Q34:R34"/>
    <mergeCell ref="Q27:R27"/>
    <mergeCell ref="Q36:R36"/>
    <mergeCell ref="Q33:R33"/>
    <mergeCell ref="Q19:R19"/>
    <mergeCell ref="P46:P47"/>
    <mergeCell ref="L54:M54"/>
    <mergeCell ref="N51:O51"/>
    <mergeCell ref="N54:O54"/>
    <mergeCell ref="L49:M49"/>
    <mergeCell ref="L48:M48"/>
    <mergeCell ref="Q15:R15"/>
    <mergeCell ref="Q37:R37"/>
    <mergeCell ref="Q16:R16"/>
    <mergeCell ref="Q17:R17"/>
    <mergeCell ref="Q18:R18"/>
    <mergeCell ref="S54:U54"/>
    <mergeCell ref="S50:U50"/>
    <mergeCell ref="J56:K56"/>
    <mergeCell ref="J53:K53"/>
    <mergeCell ref="N52:O52"/>
    <mergeCell ref="J50:K50"/>
    <mergeCell ref="J51:K51"/>
    <mergeCell ref="J54:K54"/>
    <mergeCell ref="S56:U56"/>
    <mergeCell ref="L55:M55"/>
    <mergeCell ref="V55:W55"/>
    <mergeCell ref="V56:W56"/>
    <mergeCell ref="V57:W57"/>
    <mergeCell ref="V58:W58"/>
    <mergeCell ref="X53:Y53"/>
    <mergeCell ref="N57:O57"/>
    <mergeCell ref="N58:O58"/>
    <mergeCell ref="N56:O56"/>
    <mergeCell ref="N55:O55"/>
    <mergeCell ref="X58:Y58"/>
    <mergeCell ref="I39:J39"/>
    <mergeCell ref="E40:J40"/>
    <mergeCell ref="I38:J38"/>
    <mergeCell ref="G45:H45"/>
    <mergeCell ref="H46:H47"/>
    <mergeCell ref="J58:K58"/>
    <mergeCell ref="J52:K52"/>
    <mergeCell ref="K39:L40"/>
    <mergeCell ref="J45:K47"/>
    <mergeCell ref="L57:M57"/>
    <mergeCell ref="U7:V7"/>
    <mergeCell ref="Q7:R7"/>
    <mergeCell ref="Q14:R14"/>
    <mergeCell ref="U35:V35"/>
    <mergeCell ref="Q46:Q47"/>
    <mergeCell ref="P40:V40"/>
    <mergeCell ref="Q28:R28"/>
    <mergeCell ref="Q29:R29"/>
    <mergeCell ref="U8:V8"/>
    <mergeCell ref="Q39:R39"/>
    <mergeCell ref="I12:J12"/>
    <mergeCell ref="B4:AA4"/>
    <mergeCell ref="Z5:AA6"/>
    <mergeCell ref="K6:L6"/>
    <mergeCell ref="C6:D6"/>
    <mergeCell ref="E6:J6"/>
    <mergeCell ref="C5:L5"/>
    <mergeCell ref="N5:X5"/>
    <mergeCell ref="N6:O6"/>
    <mergeCell ref="P6:V6"/>
    <mergeCell ref="Q10:R10"/>
    <mergeCell ref="I15:J15"/>
    <mergeCell ref="I16:J16"/>
    <mergeCell ref="U13:V13"/>
    <mergeCell ref="I7:J7"/>
    <mergeCell ref="Q11:R11"/>
    <mergeCell ref="Q12:R12"/>
    <mergeCell ref="I9:J9"/>
    <mergeCell ref="I10:J10"/>
    <mergeCell ref="I11:J11"/>
    <mergeCell ref="W6:X6"/>
    <mergeCell ref="B5:B7"/>
    <mergeCell ref="Q20:R20"/>
    <mergeCell ref="K20:L21"/>
    <mergeCell ref="W20:X21"/>
    <mergeCell ref="I17:J17"/>
    <mergeCell ref="I18:J18"/>
    <mergeCell ref="I8:J8"/>
    <mergeCell ref="Q8:R8"/>
    <mergeCell ref="Q9:R9"/>
    <mergeCell ref="B1:AA1"/>
    <mergeCell ref="B2:AA2"/>
    <mergeCell ref="B44:H44"/>
    <mergeCell ref="B43:AA43"/>
    <mergeCell ref="J44:Q44"/>
    <mergeCell ref="J57:K57"/>
    <mergeCell ref="J55:K55"/>
    <mergeCell ref="S55:U55"/>
    <mergeCell ref="U39:V39"/>
    <mergeCell ref="X49:Y49"/>
    <mergeCell ref="L58:M58"/>
    <mergeCell ref="X56:Y56"/>
    <mergeCell ref="X57:Y57"/>
    <mergeCell ref="S58:U58"/>
    <mergeCell ref="S57:U57"/>
    <mergeCell ref="L56:M56"/>
    <mergeCell ref="X50:Y50"/>
    <mergeCell ref="S51:U51"/>
    <mergeCell ref="V51:W51"/>
    <mergeCell ref="V50:W50"/>
    <mergeCell ref="S44:AA44"/>
    <mergeCell ref="Z46:Z47"/>
    <mergeCell ref="V45:Y45"/>
    <mergeCell ref="AA46:AA47"/>
    <mergeCell ref="V46:W47"/>
    <mergeCell ref="Z45:AA45"/>
    <mergeCell ref="P21:V21"/>
    <mergeCell ref="X54:Y54"/>
    <mergeCell ref="X55:Y55"/>
    <mergeCell ref="W39:X40"/>
    <mergeCell ref="Q38:R38"/>
    <mergeCell ref="S52:U52"/>
    <mergeCell ref="X52:Y52"/>
    <mergeCell ref="V52:W52"/>
    <mergeCell ref="V53:W53"/>
    <mergeCell ref="B23:AA23"/>
    <mergeCell ref="U9:V9"/>
    <mergeCell ref="U10:V10"/>
    <mergeCell ref="U11:V11"/>
    <mergeCell ref="U12:V12"/>
    <mergeCell ref="U14:V14"/>
    <mergeCell ref="U15:V15"/>
    <mergeCell ref="U16:V16"/>
    <mergeCell ref="U18:V18"/>
    <mergeCell ref="U17:V17"/>
    <mergeCell ref="C40:D40"/>
    <mergeCell ref="U19:V19"/>
    <mergeCell ref="U20:V20"/>
    <mergeCell ref="C24:L24"/>
    <mergeCell ref="U26:V26"/>
    <mergeCell ref="I19:J19"/>
    <mergeCell ref="Q32:R32"/>
    <mergeCell ref="Z24:AA25"/>
    <mergeCell ref="B24:B26"/>
    <mergeCell ref="I30:J30"/>
    <mergeCell ref="I31:J31"/>
    <mergeCell ref="I28:J28"/>
    <mergeCell ref="C25:D25"/>
    <mergeCell ref="I27:J27"/>
    <mergeCell ref="E25:J25"/>
    <mergeCell ref="I26:J26"/>
    <mergeCell ref="K25:L25"/>
    <mergeCell ref="U37:V37"/>
    <mergeCell ref="Q26:R26"/>
    <mergeCell ref="U28:V28"/>
    <mergeCell ref="P25:V25"/>
    <mergeCell ref="U29:V29"/>
    <mergeCell ref="Q30:R30"/>
    <mergeCell ref="Q31:R31"/>
    <mergeCell ref="U34:V34"/>
    <mergeCell ref="U33:V33"/>
    <mergeCell ref="U36:V36"/>
  </mergeCells>
  <conditionalFormatting sqref="D48:I59 V48:AA59 L48:Q59">
    <cfRule type="cellIs" priority="1" dxfId="0" operator="lessThan" stopIfTrue="1">
      <formula>0</formula>
    </cfRule>
  </conditionalFormatting>
  <printOptions horizontalCentered="1"/>
  <pageMargins left="0.1968503937007874" right="0" top="0" bottom="0" header="0.5118110236220472" footer="0.5118110236220472"/>
  <pageSetup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Mesut </dc:creator>
  <cp:keywords/>
  <dc:description/>
  <cp:lastModifiedBy>mesut ozen</cp:lastModifiedBy>
  <cp:lastPrinted>2010-09-03T06:14:44Z</cp:lastPrinted>
  <dcterms:created xsi:type="dcterms:W3CDTF">2003-06-25T12:16:39Z</dcterms:created>
  <dcterms:modified xsi:type="dcterms:W3CDTF">2011-01-07T09:53:07Z</dcterms:modified>
  <cp:category/>
  <cp:version/>
  <cp:contentType/>
  <cp:contentStatus/>
</cp:coreProperties>
</file>